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raWood\Downloads\"/>
    </mc:Choice>
  </mc:AlternateContent>
  <xr:revisionPtr revIDLastSave="0" documentId="13_ncr:1_{BBCB2DB4-5A5C-4D64-BB94-2CAC56DAF0AA}" xr6:coauthVersionLast="47" xr6:coauthVersionMax="47" xr10:uidLastSave="{00000000-0000-0000-0000-000000000000}"/>
  <bookViews>
    <workbookView xWindow="28680" yWindow="-120" windowWidth="29040" windowHeight="15720" xr2:uid="{3C84F515-0458-4C33-8635-3BF70002F1DB}"/>
  </bookViews>
  <sheets>
    <sheet name="Main" sheetId="3" r:id="rId1"/>
    <sheet name="Reallocation Step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3" l="1"/>
  <c r="X14" i="3"/>
  <c r="X13" i="3"/>
  <c r="X12" i="3"/>
  <c r="X11" i="3"/>
  <c r="X10" i="3"/>
  <c r="X9" i="3"/>
  <c r="X5" i="3"/>
  <c r="X3" i="3"/>
  <c r="P29" i="3"/>
  <c r="H34" i="3"/>
  <c r="AI9" i="3"/>
  <c r="W19" i="3"/>
  <c r="X26" i="3"/>
  <c r="AI3" i="3"/>
  <c r="AH14" i="3"/>
  <c r="AH12" i="3"/>
  <c r="AH10" i="3"/>
  <c r="AH9" i="3"/>
  <c r="AH7" i="3"/>
  <c r="AH5" i="3"/>
  <c r="AH3" i="3"/>
  <c r="AG21" i="3"/>
  <c r="AG15" i="3"/>
  <c r="AF11" i="3"/>
  <c r="AG8" i="3"/>
  <c r="AF7" i="3"/>
  <c r="AG7" i="3" s="1"/>
  <c r="AF3" i="3"/>
  <c r="AG3" i="3" s="1"/>
  <c r="X8" i="3"/>
  <c r="X7" i="3"/>
  <c r="N8" i="3"/>
  <c r="N9" i="3"/>
  <c r="N10" i="3"/>
  <c r="N11" i="3"/>
  <c r="N12" i="3"/>
  <c r="N13" i="3"/>
  <c r="N14" i="3"/>
  <c r="N5" i="3"/>
  <c r="N3" i="3"/>
  <c r="H29" i="3"/>
  <c r="AH8" i="3"/>
  <c r="AF8" i="3"/>
  <c r="AI8" i="3" s="1"/>
  <c r="AF9" i="3"/>
  <c r="AG9" i="3" s="1"/>
  <c r="AF10" i="3"/>
  <c r="AF12" i="3"/>
  <c r="AG12" i="3" s="1"/>
  <c r="AF13" i="3"/>
  <c r="AF14" i="3"/>
  <c r="AI7" i="3"/>
  <c r="AF21" i="3"/>
  <c r="AF15" i="3"/>
  <c r="AF5" i="3"/>
  <c r="N7" i="3"/>
  <c r="W26" i="3"/>
  <c r="W25" i="3"/>
  <c r="W24" i="3"/>
  <c r="W23" i="3"/>
  <c r="W22" i="3"/>
  <c r="W21" i="3"/>
  <c r="AH21" i="3" s="1"/>
  <c r="W20" i="3"/>
  <c r="W18" i="3"/>
  <c r="W17" i="3"/>
  <c r="W16" i="3"/>
  <c r="W15" i="3"/>
  <c r="W14" i="3"/>
  <c r="W13" i="3"/>
  <c r="W12" i="3"/>
  <c r="W11" i="3"/>
  <c r="AI14" i="3" l="1"/>
  <c r="AH15" i="3"/>
  <c r="AG5" i="3"/>
  <c r="AI5" i="3"/>
  <c r="AI10" i="3"/>
  <c r="AG10" i="3"/>
  <c r="H30" i="3"/>
  <c r="H31" i="3"/>
  <c r="Q29" i="3" s="1"/>
  <c r="R29" i="3" s="1"/>
  <c r="AI12" i="3"/>
  <c r="N15" i="3" l="1"/>
  <c r="N17" i="3"/>
  <c r="X17" i="3" s="1"/>
  <c r="N21" i="3"/>
  <c r="X21" i="3" s="1"/>
  <c r="S29" i="3"/>
  <c r="T29" i="3" s="1"/>
  <c r="N26" i="3"/>
  <c r="AI26" i="3" s="1"/>
  <c r="N19" i="3"/>
  <c r="N23" i="3"/>
  <c r="X23" i="3" s="1"/>
  <c r="AI23" i="3" s="1"/>
  <c r="N16" i="3"/>
  <c r="N24" i="3"/>
  <c r="X24" i="3" s="1"/>
  <c r="AI24" i="3" s="1"/>
  <c r="AI17" i="3"/>
  <c r="N20" i="3"/>
  <c r="N25" i="3"/>
  <c r="X25" i="3" s="1"/>
  <c r="AI25" i="3" s="1"/>
  <c r="N22" i="3"/>
  <c r="X22" i="3" s="1"/>
  <c r="AI22" i="3" s="1"/>
  <c r="N18" i="3"/>
  <c r="X18" i="3" l="1"/>
  <c r="AI18" i="3" s="1"/>
  <c r="X20" i="3"/>
  <c r="AI20" i="3" s="1"/>
  <c r="X16" i="3"/>
  <c r="AI16" i="3" s="1"/>
  <c r="X19" i="3"/>
  <c r="AI19" i="3" s="1"/>
  <c r="U11" i="3"/>
  <c r="U13" i="3" s="1"/>
  <c r="U29" i="3" s="1"/>
  <c r="V29" i="3" s="1"/>
  <c r="AI21" i="3"/>
  <c r="AI15" i="3"/>
  <c r="AI13" i="3" l="1"/>
  <c r="AG13" i="3"/>
  <c r="AH13" i="3" s="1"/>
  <c r="AI11" i="3"/>
  <c r="AG11" i="3"/>
  <c r="AH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tc={CA5BAE09-7279-4B1F-A09E-7989FCD4C45C}</author>
    <author>tc={97C38089-6218-43C9-A900-06B3FFF66C76}</author>
    <author>tc={80E88E78-AFD4-4AF6-9C6F-89895A21D515}</author>
    <author>tc={8CA49C40-F2E0-4114-9D90-CCAF4CAF7997}</author>
    <author>tc={4ECA3D48-F8A4-46B0-8F81-DBBFEFA68B82}</author>
    <author>tc={2EEC9FD2-935D-49E8-A06D-DCC3669B7E3A}</author>
    <author>tc={1A18DB1D-9CF6-4AE1-83B6-BCEE67446DD8}</author>
    <author>tc={248257A1-FAD9-4F71-A7E1-45E3447AA314}</author>
    <author>tc={112FF8EF-3347-4610-93EF-5FD95EDD9311}</author>
    <author>tc={1A8C40C9-3F12-4842-9605-4C7620CD09E6}</author>
    <author>tc={2A30745C-EE27-44C8-83AF-610372A87B05}</author>
    <author>tc={D49D815B-90CA-462F-B494-C6EC6368BF38}</author>
    <author>tc={0071096F-ABED-4606-9F03-DB4E61D6C0A0}</author>
    <author>tc={3CE6013B-2E4B-4AD4-8BC7-2D1AEA3ECC76}</author>
    <author>tc={EF597FEA-B567-4EEC-9836-45A709234962}</author>
    <author>tc={BC8BD482-FC6A-4363-9DEC-EC4F8D040866}</author>
    <author>tc={5D614D78-E557-469F-B144-23B0CC8A1234}</author>
    <author>tc={8A18E45E-030B-4C1A-AC25-A94AE0A7F461}</author>
    <author>tc={124E2FA8-AB06-4A65-8D21-F801CBEFA62A}</author>
    <author>tc={BF1B3462-8326-4F81-A61E-78D04AB521DF}</author>
    <author>tc={D0BBEE76-17B4-4F77-BB86-5A5074DE2187}</author>
    <author>tc={92F6BAD1-5BE8-44A5-850A-8CCD215F385C}</author>
  </authors>
  <commentList>
    <comment ref="AH1" authorId="0" shapeId="0" xr:uid="{CA5BAE09-7279-4B1F-A09E-7989FCD4C45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figure is determined by subtracting the amount of allocated capacity towards the waitlist from the total waitlist. </t>
      </text>
    </comment>
    <comment ref="P3" authorId="1" shapeId="0" xr:uid="{97C38089-6218-43C9-A900-06B3FFF66C7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3</t>
      </text>
    </comment>
    <comment ref="Q5" authorId="2" shapeId="0" xr:uid="{80E88E78-AFD4-4AF6-9C6F-89895A21D515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4</t>
      </text>
    </comment>
    <comment ref="AG7" authorId="3" shapeId="0" xr:uid="{8CA49C40-F2E0-4114-9D90-CCAF4CAF79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Not all projects on the waitlist are eligible to be selected for capacity due to the developer cap.</t>
      </text>
    </comment>
    <comment ref="AG8" authorId="4" shapeId="0" xr:uid="{4ECA3D48-F8A4-46B0-8F81-DBBFEFA68B82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Not all projects on the waitlist are eligible to be selected for capacity due to the developer cap.</t>
      </text>
    </comment>
    <comment ref="T9" authorId="5" shapeId="0" xr:uid="{2EEC9FD2-935D-49E8-A06D-DCC3669B7E3A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7</t>
      </text>
    </comment>
    <comment ref="T10" authorId="6" shapeId="0" xr:uid="{1A18DB1D-9CF6-4AE1-83B6-BCEE67446DD8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7</t>
      </text>
    </comment>
    <comment ref="U11" authorId="7" shapeId="0" xr:uid="{248257A1-FAD9-4F71-A7E1-45E3447AA314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8</t>
      </text>
    </comment>
    <comment ref="AG11" authorId="8" shapeId="0" xr:uid="{112FF8EF-3347-4610-93EF-5FD95EDD9311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Not all projects on the waitlist are eligible to be selected for capacity due to the developer cap.</t>
      </text>
    </comment>
    <comment ref="R12" authorId="9" shapeId="0" xr:uid="{1A8C40C9-3F12-4842-9605-4C7620CD09E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5</t>
      </text>
    </comment>
    <comment ref="U13" authorId="10" shapeId="0" xr:uid="{2A30745C-EE27-44C8-83AF-610372A87B05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8</t>
      </text>
    </comment>
    <comment ref="R14" authorId="11" shapeId="0" xr:uid="{D49D815B-90CA-462F-B494-C6EC6368BF38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5</t>
      </text>
    </comment>
    <comment ref="S21" authorId="12" shapeId="0" xr:uid="{0071096F-ABED-4606-9F03-DB4E61D6C0A0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6</t>
      </text>
    </comment>
    <comment ref="G28" authorId="13" shapeId="0" xr:uid="{3CE6013B-2E4B-4AD4-8BC7-2D1AEA3ECC7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1</t>
      </text>
    </comment>
    <comment ref="P28" authorId="14" shapeId="0" xr:uid="{EF597FEA-B567-4EEC-9836-45A709234962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3</t>
      </text>
    </comment>
    <comment ref="Q28" authorId="15" shapeId="0" xr:uid="{BC8BD482-FC6A-4363-9DEC-EC4F8D040866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4</t>
      </text>
    </comment>
    <comment ref="R28" authorId="16" shapeId="0" xr:uid="{5D614D78-E557-469F-B144-23B0CC8A12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Step 5
</t>
      </text>
    </comment>
    <comment ref="S28" authorId="17" shapeId="0" xr:uid="{8A18E45E-030B-4C1A-AC25-A94AE0A7F461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6</t>
      </text>
    </comment>
    <comment ref="T28" authorId="18" shapeId="0" xr:uid="{124E2FA8-AB06-4A65-8D21-F801CBEFA62A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7</t>
      </text>
    </comment>
    <comment ref="U28" authorId="19" shapeId="0" xr:uid="{BF1B3462-8326-4F81-A61E-78D04AB521DF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8</t>
      </text>
    </comment>
    <comment ref="V28" authorId="20" shapeId="0" xr:uid="{D0BBEE76-17B4-4F77-BB86-5A5074DE2187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9</t>
      </text>
    </comment>
    <comment ref="G34" authorId="21" shapeId="0" xr:uid="{92F6BAD1-5BE8-44A5-850A-8CCD215F385C}">
      <text>
        <t>[Threaded comment]
Your version of Excel allows you to read this threaded comment; however, any edits to it will get removed if the file is opened in a newer version of Excel. Learn more: https://go.microsoft.com/fwlink/?linkid=870924
Comment:
    Step 2</t>
      </text>
    </comment>
  </commentList>
</comments>
</file>

<file path=xl/sharedStrings.xml><?xml version="1.0" encoding="utf-8"?>
<sst xmlns="http://schemas.openxmlformats.org/spreadsheetml/2006/main" count="350" uniqueCount="79">
  <si>
    <t>Block 2024-2025 PY</t>
  </si>
  <si>
    <t>Group 2024-2025 PY</t>
  </si>
  <si>
    <t>Tier 2024-2025 PY</t>
  </si>
  <si>
    <t>Size (Public Schools only) 2024-2025 PY</t>
  </si>
  <si>
    <t>Size (Public Schools only)</t>
  </si>
  <si>
    <t>2024-2025 PY Final Block Sizes After Reallocation (MW)</t>
  </si>
  <si>
    <t>2024-2025 PY Unbatched Capacity Remaining (MW)</t>
  </si>
  <si>
    <t>Block 2025-2026 PY</t>
  </si>
  <si>
    <t>Group 2025-2026 PY</t>
  </si>
  <si>
    <t>Category 2025-2026 PY</t>
  </si>
  <si>
    <t>Tier 2025-2026 PY</t>
  </si>
  <si>
    <t>Size (Public Schools only) 2025-2026 PY</t>
  </si>
  <si>
    <t>2024-2025 PY Unbatched Capacity Amount to be Rolled Over (MW)</t>
  </si>
  <si>
    <t>2024-2025 PY Waitlist (MW)</t>
  </si>
  <si>
    <t>Allocation to Small DG Waitlist (MW)</t>
  </si>
  <si>
    <t>Allocation to Large DG Waitlist (MW)</t>
  </si>
  <si>
    <t>Allocation to EEC DG Waitlist (MW)</t>
  </si>
  <si>
    <t>Allocation to Public School DG Waitlist (MW)</t>
  </si>
  <si>
    <t>Allocation to CDCS Waitlist (MW)</t>
  </si>
  <si>
    <t>Allocation to EEC CS Waitlist (MW)</t>
  </si>
  <si>
    <t>Allocation to Public School CS Waitlist (MW)</t>
  </si>
  <si>
    <t>2025-2026 PY Block Sizes (prior to reallocation) (MW)</t>
  </si>
  <si>
    <t>2025-2026 PY Final Block Sizes (after uncontracted capacity reallocation) (MW)</t>
  </si>
  <si>
    <t>Amount of Waitlist Remaining After Uncontracted Capacity Reallocation (MW)</t>
  </si>
  <si>
    <t>Amount of waitlist remaining after 2025-2026 PY block applied (MW)</t>
  </si>
  <si>
    <t>2025-2026 PY Unallocated capacity after waitlist rollover (MW)</t>
  </si>
  <si>
    <t>CEJA Category</t>
  </si>
  <si>
    <t>Group</t>
  </si>
  <si>
    <t>Tier</t>
  </si>
  <si>
    <t>Small DG</t>
  </si>
  <si>
    <t>N/A</t>
  </si>
  <si>
    <t>DG</t>
  </si>
  <si>
    <t>Large DG</t>
  </si>
  <si>
    <t>TCS</t>
  </si>
  <si>
    <t>A (30%)</t>
  </si>
  <si>
    <t>CS</t>
  </si>
  <si>
    <t>B (70%)</t>
  </si>
  <si>
    <t>CDCS</t>
  </si>
  <si>
    <t>EEC</t>
  </si>
  <si>
    <t>CS (75%)</t>
  </si>
  <si>
    <t>DG (25%)</t>
  </si>
  <si>
    <t>Public Schools - CS</t>
  </si>
  <si>
    <t>CS (25%)</t>
  </si>
  <si>
    <t>Tier 1, 2, and EJC (70%)</t>
  </si>
  <si>
    <t>&lt;250 kW (25%)</t>
  </si>
  <si>
    <t>Public Schools</t>
  </si>
  <si>
    <t>250 - 1000 (50%)</t>
  </si>
  <si>
    <t>1000-5000 (25%)</t>
  </si>
  <si>
    <t>Tier 3, 4 (30%)</t>
  </si>
  <si>
    <t>Public Schools - DG</t>
  </si>
  <si>
    <t>DG (75%)</t>
  </si>
  <si>
    <t>250 - 1000 50%)</t>
  </si>
  <si>
    <t>Public School Reallocation Split</t>
  </si>
  <si>
    <t>Total amount remaining after Small DG waitlist allocation</t>
  </si>
  <si>
    <t>Total amount remaining after Large DG waitlist allocation</t>
  </si>
  <si>
    <t>Total amount remaining after EEC DG waitlist allocation</t>
  </si>
  <si>
    <t>Total amount remaining after Public School DG waitlist allocation</t>
  </si>
  <si>
    <t>Total amount remaining after CDCS waitlist allocation</t>
  </si>
  <si>
    <t>Total amount remaining after EEC CS waitlist allocation</t>
  </si>
  <si>
    <t>Total amount remaining after Public School CS waitlist allocation</t>
  </si>
  <si>
    <t>Amount of unbatched capacity at end of 2024-2025 PY</t>
  </si>
  <si>
    <t>25% of total (to be rolled over to PS category)</t>
  </si>
  <si>
    <t>75% of total (to be allocated to other categories)</t>
  </si>
  <si>
    <t>Total Amount among all blocks to be rolled over based on prioritization</t>
  </si>
  <si>
    <t xml:space="preserve">Step Order </t>
  </si>
  <si>
    <t>Action</t>
  </si>
  <si>
    <t>For more information please see page 161 of the 2024 Long Term Plan.</t>
  </si>
  <si>
    <t>25% of any uncontracted capacity from the Public Schools category within that category for the following Program Year and allocate the remaining 75% to other categories in accordance with the process outlined below.</t>
  </si>
  <si>
    <t>The uncontracted capacity will be summed to a total amount (in megawatts), with distribution of that total amount made according to the prioritization below.</t>
  </si>
  <si>
    <t>For categories without Group A/B distinctions, reallocated capacity will be applied to the category’s waitlist in rank order until the waitlist is depleted</t>
  </si>
  <si>
    <t>For categories that do feature the Group A/B split, capacity will be divided along the 30%/70% split and applied tobetween Group A/B waitlists accordingly.</t>
  </si>
  <si>
    <t>The Agency will first allocate any uncontracted capacity to the Small Distributed Generation category waitlist</t>
  </si>
  <si>
    <t>Next, the Agency will then allocate any uncontracted capacity to  the Large Distributed Generation category waitlist</t>
  </si>
  <si>
    <t>Next, the Agency will allocate any uncontracted capacity to the Distributed Generation subcategory of the Equity Eligible Contractor category waitlist</t>
  </si>
  <si>
    <t>Next, the Agency will allocate uncontracted program capacity to the Distributed Generation subcategory of the Public Schools waitlist</t>
  </si>
  <si>
    <t>Next, the Agency will allocate any uncontracted capacity to the Community‐Driven Community Solar waitlist. Eligible waitlisted projects)</t>
  </si>
  <si>
    <t>Next, the Agency will allocate any uncontracted capacity to the Community Solar subcategory sub‐category of the Equity Eligible
Contractor category if a waitlist</t>
  </si>
  <si>
    <t>Next, the Agency will allocate any uncontracted capacity to the Community Solar subcategory of the Public Schools category waitlist.</t>
  </si>
  <si>
    <t>If uncontracted capacity remains after the above allocations are made, the Agency will evenly distribute the remaining uncontracted capacity across the remaining Program categories featuring waitlists on a pro rata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</si>
</sst>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Franklin Gothic Book"/>
      <family val="2"/>
    </font>
    <font>
      <i/>
      <sz val="16"/>
      <color theme="1"/>
      <name val="Franklin Gothic Book"/>
      <family val="2"/>
    </font>
    <font>
      <sz val="16"/>
      <color theme="1"/>
      <name val="Franklin Gothic Book"/>
      <family val="2"/>
    </font>
    <font>
      <sz val="16"/>
      <color rgb="FF000000"/>
      <name val="Franklin Gothic Book"/>
      <family val="2"/>
    </font>
    <font>
      <sz val="16"/>
      <color theme="1"/>
      <name val="Franklin Gothic Book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D19D"/>
        <bgColor indexed="64"/>
      </patternFill>
    </fill>
    <fill>
      <patternFill patternType="solid">
        <fgColor rgb="FFFEBE10"/>
        <bgColor indexed="64"/>
      </patternFill>
    </fill>
    <fill>
      <patternFill patternType="solid">
        <fgColor rgb="FFCBEAF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/>
    </xf>
    <xf numFmtId="2" fontId="4" fillId="0" borderId="2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2" fontId="4" fillId="0" borderId="2" xfId="1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2" fontId="4" fillId="0" borderId="8" xfId="1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top" wrapText="1"/>
    </xf>
    <xf numFmtId="2" fontId="4" fillId="0" borderId="15" xfId="1" applyNumberFormat="1" applyFont="1" applyFill="1" applyBorder="1" applyAlignment="1">
      <alignment horizontal="center" vertical="top"/>
    </xf>
    <xf numFmtId="2" fontId="4" fillId="0" borderId="16" xfId="1" applyNumberFormat="1" applyFont="1" applyFill="1" applyBorder="1" applyAlignment="1">
      <alignment horizontal="center" vertical="top"/>
    </xf>
    <xf numFmtId="2" fontId="4" fillId="0" borderId="18" xfId="1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2" fontId="4" fillId="0" borderId="9" xfId="1" applyNumberFormat="1" applyFont="1" applyFill="1" applyBorder="1" applyAlignment="1">
      <alignment horizontal="center" vertical="top" wrapText="1"/>
    </xf>
    <xf numFmtId="2" fontId="4" fillId="0" borderId="14" xfId="1" applyNumberFormat="1" applyFont="1" applyFill="1" applyBorder="1" applyAlignment="1">
      <alignment horizontal="center" vertical="top" wrapText="1"/>
    </xf>
    <xf numFmtId="2" fontId="4" fillId="0" borderId="17" xfId="1" applyNumberFormat="1" applyFont="1" applyFill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4" fillId="3" borderId="13" xfId="0" applyNumberFormat="1" applyFont="1" applyFill="1" applyBorder="1" applyAlignment="1">
      <alignment horizontal="center" vertical="top" wrapText="1"/>
    </xf>
    <xf numFmtId="2" fontId="4" fillId="3" borderId="7" xfId="0" applyNumberFormat="1" applyFont="1" applyFill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BE10"/>
      <color rgb="FFCBEAF3"/>
      <color rgb="FF9BD1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Wood" id="{60FBA5B1-6687-4267-B003-4F463BE1E601}" userId="S::swood@energy-solution.com::d6f31720-739f-4515-9870-01f277dfdef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1" dT="2025-05-29T16:13:09.07" personId="{60FBA5B1-6687-4267-B003-4F463BE1E601}" id="{CA5BAE09-7279-4B1F-A09E-7989FCD4C45C}">
    <text xml:space="preserve">This figure is determined by subtracting the amount of allocated capacity towards the waitlist from the total waitlist. </text>
  </threadedComment>
  <threadedComment ref="P3" dT="2024-04-22T22:26:32.17" personId="{60FBA5B1-6687-4267-B003-4F463BE1E601}" id="{97C38089-6218-43C9-A900-06B3FFF66C76}">
    <text>Step 3</text>
  </threadedComment>
  <threadedComment ref="Q5" dT="2024-05-31T17:39:05.20" personId="{60FBA5B1-6687-4267-B003-4F463BE1E601}" id="{80E88E78-AFD4-4AF6-9C6F-89895A21D515}">
    <text>Step 4</text>
  </threadedComment>
  <threadedComment ref="AG7" dT="2024-05-30T17:46:45.02" personId="{60FBA5B1-6687-4267-B003-4F463BE1E601}" id="{8CA49C40-F2E0-4114-9D90-CCAF4CAF7997}">
    <text>Note: Not all projects on the waitlist are eligible to be selected for capacity due to the developer cap.</text>
  </threadedComment>
  <threadedComment ref="AG8" dT="2024-05-30T17:46:48.05" personId="{60FBA5B1-6687-4267-B003-4F463BE1E601}" id="{4ECA3D48-F8A4-46B0-8F81-DBBFEFA68B82}">
    <text>Note: Not all projects on the waitlist are eligible to be selected for capacity due to the developer cap.</text>
  </threadedComment>
  <threadedComment ref="T9" dT="2024-05-31T17:40:04.08" personId="{60FBA5B1-6687-4267-B003-4F463BE1E601}" id="{2EEC9FD2-935D-49E8-A06D-DCC3669B7E3A}">
    <text>Step 7</text>
  </threadedComment>
  <threadedComment ref="T10" dT="2024-05-31T17:40:10.15" personId="{60FBA5B1-6687-4267-B003-4F463BE1E601}" id="{1A18DB1D-9CF6-4AE1-83B6-BCEE67446DD8}">
    <text>Step 7</text>
  </threadedComment>
  <threadedComment ref="U11" dT="2025-05-28T21:49:21.55" personId="{60FBA5B1-6687-4267-B003-4F463BE1E601}" id="{248257A1-FAD9-4F71-A7E1-45E3447AA314}">
    <text>Step 8</text>
  </threadedComment>
  <threadedComment ref="AG11" dT="2024-05-30T17:46:53.50" personId="{60FBA5B1-6687-4267-B003-4F463BE1E601}" id="{112FF8EF-3347-4610-93EF-5FD95EDD9311}">
    <text>Note: Not all projects on the waitlist are eligible to be selected for capacity due to the developer cap.</text>
  </threadedComment>
  <threadedComment ref="R12" dT="2024-05-31T17:39:23.30" personId="{60FBA5B1-6687-4267-B003-4F463BE1E601}" id="{1A8C40C9-3F12-4842-9605-4C7620CD09E6}">
    <text>Step 5</text>
  </threadedComment>
  <threadedComment ref="U13" dT="2025-05-28T21:50:00.08" personId="{60FBA5B1-6687-4267-B003-4F463BE1E601}" id="{2A30745C-EE27-44C8-83AF-610372A87B05}">
    <text>Step 8</text>
  </threadedComment>
  <threadedComment ref="R14" dT="2024-05-31T17:39:28.90" personId="{60FBA5B1-6687-4267-B003-4F463BE1E601}" id="{D49D815B-90CA-462F-B494-C6EC6368BF38}">
    <text>Step 5</text>
  </threadedComment>
  <threadedComment ref="S21" dT="2024-05-31T17:39:52.01" personId="{60FBA5B1-6687-4267-B003-4F463BE1E601}" id="{0071096F-ABED-4606-9F03-DB4E61D6C0A0}">
    <text>Step 6</text>
  </threadedComment>
  <threadedComment ref="G28" dT="2024-03-12T18:09:19.71" personId="{60FBA5B1-6687-4267-B003-4F463BE1E601}" id="{3CE6013B-2E4B-4AD4-8BC7-2D1AEA3ECC76}">
    <text>Step 1</text>
  </threadedComment>
  <threadedComment ref="P28" dT="2024-03-12T19:06:27.07" personId="{60FBA5B1-6687-4267-B003-4F463BE1E601}" id="{EF597FEA-B567-4EEC-9836-45A709234962}">
    <text>Step 3</text>
  </threadedComment>
  <threadedComment ref="Q28" dT="2024-03-12T19:06:45.26" personId="{60FBA5B1-6687-4267-B003-4F463BE1E601}" id="{BC8BD482-FC6A-4363-9DEC-EC4F8D040866}">
    <text>Step 4</text>
  </threadedComment>
  <threadedComment ref="R28" dT="2024-03-12T19:06:45.26" personId="{60FBA5B1-6687-4267-B003-4F463BE1E601}" id="{5D614D78-E557-469F-B144-23B0CC8A1234}">
    <text xml:space="preserve">Step 5
</text>
  </threadedComment>
  <threadedComment ref="S28" dT="2024-03-12T19:06:45.26" personId="{60FBA5B1-6687-4267-B003-4F463BE1E601}" id="{8A18E45E-030B-4C1A-AC25-A94AE0A7F461}">
    <text>Step 6</text>
  </threadedComment>
  <threadedComment ref="T28" dT="2024-03-12T19:14:56.34" personId="{60FBA5B1-6687-4267-B003-4F463BE1E601}" id="{124E2FA8-AB06-4A65-8D21-F801CBEFA62A}">
    <text>Step 7</text>
  </threadedComment>
  <threadedComment ref="U28" dT="2024-03-12T19:19:06.90" personId="{60FBA5B1-6687-4267-B003-4F463BE1E601}" id="{BF1B3462-8326-4F81-A61E-78D04AB521DF}">
    <text>Step 8</text>
  </threadedComment>
  <threadedComment ref="V28" dT="2024-03-12T19:19:06.90" personId="{60FBA5B1-6687-4267-B003-4F463BE1E601}" id="{D0BBEE76-17B4-4F77-BB86-5A5074DE2187}">
    <text>Step 9</text>
  </threadedComment>
  <threadedComment ref="G34" dT="2024-03-12T18:35:48.74" personId="{60FBA5B1-6687-4267-B003-4F463BE1E601}" id="{92F6BAD1-5BE8-44A5-850A-8CCD215F385C}">
    <text>Step 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957A-8ECB-48DC-8147-B14F0CEB577C}">
  <dimension ref="A1:AJ40"/>
  <sheetViews>
    <sheetView tabSelected="1" zoomScale="25" zoomScaleNormal="25" workbookViewId="0">
      <selection activeCell="I29" sqref="I29"/>
    </sheetView>
  </sheetViews>
  <sheetFormatPr defaultColWidth="8.81640625" defaultRowHeight="20" x14ac:dyDescent="0.35"/>
  <cols>
    <col min="1" max="1" width="22" style="20" customWidth="1"/>
    <col min="2" max="2" width="21.453125" style="20" customWidth="1"/>
    <col min="3" max="3" width="19" style="20" customWidth="1"/>
    <col min="4" max="4" width="30.1796875" style="20" customWidth="1"/>
    <col min="5" max="5" width="20.7265625" style="20" customWidth="1"/>
    <col min="6" max="6" width="32.26953125" style="20" customWidth="1"/>
    <col min="7" max="7" width="41.7265625" style="20" customWidth="1"/>
    <col min="8" max="8" width="17.1796875" style="20" customWidth="1"/>
    <col min="9" max="9" width="22.54296875" style="20" customWidth="1"/>
    <col min="10" max="10" width="20.7265625" style="20" customWidth="1"/>
    <col min="11" max="11" width="24.7265625" style="20" customWidth="1"/>
    <col min="12" max="12" width="26.26953125" style="20" customWidth="1"/>
    <col min="13" max="13" width="23.7265625" style="20" customWidth="1"/>
    <col min="14" max="14" width="33.26953125" style="20" customWidth="1"/>
    <col min="15" max="16" width="27.81640625" style="20" customWidth="1"/>
    <col min="17" max="17" width="27.26953125" style="20" customWidth="1"/>
    <col min="18" max="23" width="27.81640625" style="20" customWidth="1"/>
    <col min="24" max="24" width="40.26953125" style="20" customWidth="1"/>
    <col min="25" max="25" width="14.453125" style="11" customWidth="1"/>
    <col min="26" max="26" width="8.81640625" style="11" customWidth="1"/>
    <col min="27" max="27" width="13.81640625" style="11" customWidth="1"/>
    <col min="28" max="29" width="16.7265625" style="11" customWidth="1"/>
    <col min="30" max="30" width="15.1796875" style="11" customWidth="1"/>
    <col min="31" max="31" width="24.453125" style="11" customWidth="1"/>
    <col min="32" max="32" width="17.7265625" style="11" customWidth="1"/>
    <col min="33" max="33" width="33.26953125" style="11" customWidth="1"/>
    <col min="34" max="34" width="34.26953125" style="11" customWidth="1"/>
    <col min="35" max="35" width="33.7265625" style="11" customWidth="1"/>
    <col min="36" max="36" width="9.7265625" style="11" bestFit="1" customWidth="1"/>
    <col min="37" max="16384" width="8.81640625" style="11"/>
  </cols>
  <sheetData>
    <row r="1" spans="1:36" ht="138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/>
      <c r="I1" s="8" t="s">
        <v>7</v>
      </c>
      <c r="J1" s="8" t="s">
        <v>8</v>
      </c>
      <c r="K1" s="8" t="s">
        <v>9</v>
      </c>
      <c r="L1" s="9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AA1" s="5" t="s">
        <v>7</v>
      </c>
      <c r="AB1" s="5" t="s">
        <v>8</v>
      </c>
      <c r="AC1" s="5" t="s">
        <v>9</v>
      </c>
      <c r="AD1" s="6" t="s">
        <v>10</v>
      </c>
      <c r="AE1" s="7" t="s">
        <v>11</v>
      </c>
      <c r="AF1" s="7" t="s">
        <v>13</v>
      </c>
      <c r="AG1" s="35" t="s">
        <v>23</v>
      </c>
      <c r="AH1" s="35" t="s">
        <v>24</v>
      </c>
      <c r="AI1" s="35" t="s">
        <v>25</v>
      </c>
    </row>
    <row r="2" spans="1:36" ht="40" x14ac:dyDescent="0.35">
      <c r="A2" s="15" t="s">
        <v>26</v>
      </c>
      <c r="B2" s="15" t="s">
        <v>27</v>
      </c>
      <c r="C2" s="15"/>
      <c r="D2" s="16" t="s">
        <v>28</v>
      </c>
      <c r="E2" s="12"/>
      <c r="F2" s="13"/>
      <c r="G2" s="13"/>
      <c r="H2" s="14"/>
      <c r="I2" s="15" t="s">
        <v>26</v>
      </c>
      <c r="J2" s="15" t="s">
        <v>27</v>
      </c>
      <c r="K2" s="15"/>
      <c r="L2" s="16" t="s">
        <v>28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AA2" s="15" t="s">
        <v>26</v>
      </c>
      <c r="AB2" s="15" t="s">
        <v>27</v>
      </c>
      <c r="AC2" s="15"/>
      <c r="AD2" s="16" t="s">
        <v>28</v>
      </c>
      <c r="AE2" s="12"/>
      <c r="AF2" s="17"/>
      <c r="AG2" s="18"/>
      <c r="AH2" s="18"/>
      <c r="AI2" s="18"/>
    </row>
    <row r="3" spans="1:36" x14ac:dyDescent="0.35">
      <c r="A3" s="45" t="s">
        <v>29</v>
      </c>
      <c r="B3" s="45" t="s">
        <v>30</v>
      </c>
      <c r="C3" s="45" t="s">
        <v>31</v>
      </c>
      <c r="D3" s="46" t="s">
        <v>30</v>
      </c>
      <c r="E3" s="48" t="s">
        <v>30</v>
      </c>
      <c r="F3" s="48">
        <v>208.17</v>
      </c>
      <c r="G3" s="73">
        <v>0</v>
      </c>
      <c r="I3" s="45" t="s">
        <v>29</v>
      </c>
      <c r="J3" s="45" t="s">
        <v>30</v>
      </c>
      <c r="K3" s="45" t="s">
        <v>31</v>
      </c>
      <c r="L3" s="46" t="s">
        <v>30</v>
      </c>
      <c r="M3" s="48" t="s">
        <v>30</v>
      </c>
      <c r="N3" s="57">
        <f>G3</f>
        <v>0</v>
      </c>
      <c r="O3" s="56">
        <v>22.82</v>
      </c>
      <c r="P3" s="56">
        <v>22.82</v>
      </c>
      <c r="Q3" s="57" t="s">
        <v>30</v>
      </c>
      <c r="R3" s="26" t="s">
        <v>30</v>
      </c>
      <c r="S3" s="26" t="s">
        <v>30</v>
      </c>
      <c r="T3" s="57" t="s">
        <v>30</v>
      </c>
      <c r="U3" s="57" t="s">
        <v>30</v>
      </c>
      <c r="V3" s="48" t="s">
        <v>30</v>
      </c>
      <c r="W3" s="48">
        <v>142</v>
      </c>
      <c r="X3" s="48">
        <f>W3+P3</f>
        <v>164.82</v>
      </c>
      <c r="Y3" s="21"/>
      <c r="AA3" s="45" t="s">
        <v>29</v>
      </c>
      <c r="AB3" s="45" t="s">
        <v>30</v>
      </c>
      <c r="AC3" s="45" t="s">
        <v>31</v>
      </c>
      <c r="AD3" s="51" t="s">
        <v>30</v>
      </c>
      <c r="AE3" s="53" t="s">
        <v>30</v>
      </c>
      <c r="AF3" s="55">
        <f>O3</f>
        <v>22.82</v>
      </c>
      <c r="AG3" s="50">
        <f>AF3-P3</f>
        <v>0</v>
      </c>
      <c r="AH3" s="50">
        <f>IF(AG3-W3&lt;0,0,AG3-W3)</f>
        <v>0</v>
      </c>
      <c r="AI3" s="50">
        <f>IF(X3-AF3&lt;0,0,X3-AF3)</f>
        <v>142</v>
      </c>
    </row>
    <row r="4" spans="1:36" x14ac:dyDescent="0.35">
      <c r="A4" s="45"/>
      <c r="B4" s="45"/>
      <c r="C4" s="45"/>
      <c r="D4" s="47"/>
      <c r="E4" s="49"/>
      <c r="F4" s="49"/>
      <c r="G4" s="75"/>
      <c r="I4" s="45"/>
      <c r="J4" s="45"/>
      <c r="K4" s="45"/>
      <c r="L4" s="47"/>
      <c r="M4" s="49"/>
      <c r="N4" s="57"/>
      <c r="O4" s="56"/>
      <c r="P4" s="56"/>
      <c r="Q4" s="57"/>
      <c r="R4" s="26" t="s">
        <v>30</v>
      </c>
      <c r="S4" s="26" t="s">
        <v>30</v>
      </c>
      <c r="T4" s="57"/>
      <c r="U4" s="57"/>
      <c r="V4" s="49"/>
      <c r="W4" s="49"/>
      <c r="X4" s="49"/>
      <c r="Y4" s="21"/>
      <c r="AA4" s="45"/>
      <c r="AB4" s="45"/>
      <c r="AC4" s="45"/>
      <c r="AD4" s="52"/>
      <c r="AE4" s="54"/>
      <c r="AF4" s="55"/>
      <c r="AG4" s="50"/>
      <c r="AH4" s="50"/>
      <c r="AI4" s="50"/>
    </row>
    <row r="5" spans="1:36" x14ac:dyDescent="0.35">
      <c r="A5" s="45" t="s">
        <v>32</v>
      </c>
      <c r="B5" s="45" t="s">
        <v>30</v>
      </c>
      <c r="C5" s="45" t="s">
        <v>31</v>
      </c>
      <c r="D5" s="46" t="s">
        <v>30</v>
      </c>
      <c r="E5" s="48" t="s">
        <v>30</v>
      </c>
      <c r="F5" s="48">
        <v>215.01</v>
      </c>
      <c r="G5" s="73">
        <v>9.6</v>
      </c>
      <c r="I5" s="45" t="s">
        <v>32</v>
      </c>
      <c r="J5" s="45" t="s">
        <v>30</v>
      </c>
      <c r="K5" s="45" t="s">
        <v>31</v>
      </c>
      <c r="L5" s="46" t="s">
        <v>30</v>
      </c>
      <c r="M5" s="48" t="s">
        <v>30</v>
      </c>
      <c r="N5" s="57">
        <f>G5</f>
        <v>9.6</v>
      </c>
      <c r="O5" s="56">
        <v>0</v>
      </c>
      <c r="P5" s="57" t="s">
        <v>30</v>
      </c>
      <c r="Q5" s="56">
        <v>0</v>
      </c>
      <c r="R5" s="26" t="s">
        <v>30</v>
      </c>
      <c r="S5" s="26" t="s">
        <v>30</v>
      </c>
      <c r="T5" s="57" t="s">
        <v>30</v>
      </c>
      <c r="U5" s="57" t="s">
        <v>30</v>
      </c>
      <c r="V5" s="48" t="s">
        <v>30</v>
      </c>
      <c r="W5" s="48">
        <v>142</v>
      </c>
      <c r="X5" s="48">
        <f>W5+Q5</f>
        <v>142</v>
      </c>
      <c r="Y5" s="21"/>
      <c r="AA5" s="45" t="s">
        <v>32</v>
      </c>
      <c r="AB5" s="45" t="s">
        <v>30</v>
      </c>
      <c r="AC5" s="45" t="s">
        <v>31</v>
      </c>
      <c r="AD5" s="51" t="s">
        <v>30</v>
      </c>
      <c r="AE5" s="53" t="s">
        <v>30</v>
      </c>
      <c r="AF5" s="55">
        <f>O5</f>
        <v>0</v>
      </c>
      <c r="AG5" s="50">
        <f>AF5-Q5</f>
        <v>0</v>
      </c>
      <c r="AH5" s="50">
        <f>IF(AG5-W5&lt;0,0,AG5-W5)</f>
        <v>0</v>
      </c>
      <c r="AI5" s="50">
        <f>IF(X5-AF5&lt;0,0,X5-AF5)</f>
        <v>142</v>
      </c>
    </row>
    <row r="6" spans="1:36" x14ac:dyDescent="0.35">
      <c r="A6" s="45"/>
      <c r="B6" s="45"/>
      <c r="C6" s="45"/>
      <c r="D6" s="47"/>
      <c r="E6" s="49"/>
      <c r="F6" s="49"/>
      <c r="G6" s="75"/>
      <c r="I6" s="45"/>
      <c r="J6" s="45"/>
      <c r="K6" s="45"/>
      <c r="L6" s="47"/>
      <c r="M6" s="49"/>
      <c r="N6" s="57"/>
      <c r="O6" s="56"/>
      <c r="P6" s="57"/>
      <c r="Q6" s="56"/>
      <c r="R6" s="26" t="s">
        <v>30</v>
      </c>
      <c r="S6" s="26" t="s">
        <v>30</v>
      </c>
      <c r="T6" s="57"/>
      <c r="U6" s="57"/>
      <c r="V6" s="49"/>
      <c r="W6" s="49"/>
      <c r="X6" s="49"/>
      <c r="Y6" s="21"/>
      <c r="AA6" s="45"/>
      <c r="AB6" s="45"/>
      <c r="AC6" s="45"/>
      <c r="AD6" s="52"/>
      <c r="AE6" s="54"/>
      <c r="AF6" s="55"/>
      <c r="AG6" s="50"/>
      <c r="AH6" s="50"/>
      <c r="AI6" s="50"/>
    </row>
    <row r="7" spans="1:36" x14ac:dyDescent="0.35">
      <c r="A7" s="27" t="s">
        <v>33</v>
      </c>
      <c r="B7" s="27" t="s">
        <v>34</v>
      </c>
      <c r="C7" s="27" t="s">
        <v>35</v>
      </c>
      <c r="D7" s="29" t="s">
        <v>30</v>
      </c>
      <c r="E7" s="29" t="s">
        <v>30</v>
      </c>
      <c r="F7" s="26">
        <v>64</v>
      </c>
      <c r="G7" s="37">
        <v>0</v>
      </c>
      <c r="I7" s="27" t="s">
        <v>33</v>
      </c>
      <c r="J7" s="27" t="s">
        <v>34</v>
      </c>
      <c r="K7" s="27" t="s">
        <v>35</v>
      </c>
      <c r="L7" s="29" t="s">
        <v>30</v>
      </c>
      <c r="M7" s="29" t="s">
        <v>30</v>
      </c>
      <c r="N7" s="26">
        <f>G7</f>
        <v>0</v>
      </c>
      <c r="O7" s="37">
        <v>194.92</v>
      </c>
      <c r="P7" s="26" t="s">
        <v>30</v>
      </c>
      <c r="Q7" s="26" t="s">
        <v>30</v>
      </c>
      <c r="R7" s="26" t="s">
        <v>30</v>
      </c>
      <c r="S7" s="26" t="s">
        <v>30</v>
      </c>
      <c r="T7" s="26" t="s">
        <v>30</v>
      </c>
      <c r="U7" s="26" t="s">
        <v>30</v>
      </c>
      <c r="V7" s="26" t="s">
        <v>30</v>
      </c>
      <c r="W7" s="26">
        <v>64</v>
      </c>
      <c r="X7" s="26">
        <f>W7</f>
        <v>64</v>
      </c>
      <c r="AA7" s="27" t="s">
        <v>33</v>
      </c>
      <c r="AB7" s="27" t="s">
        <v>34</v>
      </c>
      <c r="AC7" s="27" t="s">
        <v>35</v>
      </c>
      <c r="AD7" s="30" t="s">
        <v>30</v>
      </c>
      <c r="AE7" s="30" t="s">
        <v>30</v>
      </c>
      <c r="AF7" s="28">
        <f>O7</f>
        <v>194.92</v>
      </c>
      <c r="AG7" s="26">
        <f>AF7</f>
        <v>194.92</v>
      </c>
      <c r="AH7" s="22">
        <f>IF(AG7-W7&lt;0,0,AG7-W7)</f>
        <v>130.91999999999999</v>
      </c>
      <c r="AI7" s="22">
        <f>IF(X7-AF7&lt;0,0,X7-AF7)</f>
        <v>0</v>
      </c>
      <c r="AJ7" s="21"/>
    </row>
    <row r="8" spans="1:36" x14ac:dyDescent="0.35">
      <c r="A8" s="27" t="s">
        <v>33</v>
      </c>
      <c r="B8" s="27" t="s">
        <v>36</v>
      </c>
      <c r="C8" s="27" t="s">
        <v>35</v>
      </c>
      <c r="D8" s="29" t="s">
        <v>30</v>
      </c>
      <c r="E8" s="29" t="s">
        <v>30</v>
      </c>
      <c r="F8" s="26">
        <v>149</v>
      </c>
      <c r="G8" s="37">
        <v>0</v>
      </c>
      <c r="I8" s="27" t="s">
        <v>33</v>
      </c>
      <c r="J8" s="27" t="s">
        <v>36</v>
      </c>
      <c r="K8" s="27" t="s">
        <v>35</v>
      </c>
      <c r="L8" s="29" t="s">
        <v>30</v>
      </c>
      <c r="M8" s="29" t="s">
        <v>30</v>
      </c>
      <c r="N8" s="26">
        <f t="shared" ref="N8:N14" si="0">G8</f>
        <v>0</v>
      </c>
      <c r="O8" s="37">
        <v>258.63799999999998</v>
      </c>
      <c r="P8" s="26" t="s">
        <v>30</v>
      </c>
      <c r="Q8" s="26" t="s">
        <v>30</v>
      </c>
      <c r="R8" s="26" t="s">
        <v>30</v>
      </c>
      <c r="S8" s="26" t="s">
        <v>30</v>
      </c>
      <c r="T8" s="26" t="s">
        <v>30</v>
      </c>
      <c r="U8" s="26" t="s">
        <v>30</v>
      </c>
      <c r="V8" s="26" t="s">
        <v>30</v>
      </c>
      <c r="W8" s="26">
        <v>149</v>
      </c>
      <c r="X8" s="26">
        <f>W8</f>
        <v>149</v>
      </c>
      <c r="AA8" s="27" t="s">
        <v>33</v>
      </c>
      <c r="AB8" s="27" t="s">
        <v>36</v>
      </c>
      <c r="AC8" s="27" t="s">
        <v>35</v>
      </c>
      <c r="AD8" s="30" t="s">
        <v>30</v>
      </c>
      <c r="AE8" s="30" t="s">
        <v>30</v>
      </c>
      <c r="AF8" s="28">
        <f t="shared" ref="AF8:AF14" si="1">O8</f>
        <v>258.63799999999998</v>
      </c>
      <c r="AG8" s="26">
        <f>O8</f>
        <v>258.63799999999998</v>
      </c>
      <c r="AH8" s="22">
        <f t="shared" ref="AH8" si="2">IF(AG8-W8&lt;0,0,AG8-W8)</f>
        <v>109.63799999999998</v>
      </c>
      <c r="AI8" s="22">
        <f t="shared" ref="AI8:AI14" si="3">IF(X8-AF8&lt;0,0,X8-AF8)</f>
        <v>0</v>
      </c>
    </row>
    <row r="9" spans="1:36" x14ac:dyDescent="0.35">
      <c r="A9" s="27" t="s">
        <v>37</v>
      </c>
      <c r="B9" s="27" t="s">
        <v>34</v>
      </c>
      <c r="C9" s="27" t="s">
        <v>35</v>
      </c>
      <c r="D9" s="29" t="s">
        <v>30</v>
      </c>
      <c r="E9" s="29" t="s">
        <v>30</v>
      </c>
      <c r="F9" s="26">
        <v>13.78</v>
      </c>
      <c r="G9" s="37">
        <v>0</v>
      </c>
      <c r="I9" s="27" t="s">
        <v>37</v>
      </c>
      <c r="J9" s="27" t="s">
        <v>34</v>
      </c>
      <c r="K9" s="27" t="s">
        <v>35</v>
      </c>
      <c r="L9" s="29" t="s">
        <v>30</v>
      </c>
      <c r="M9" s="29" t="s">
        <v>30</v>
      </c>
      <c r="N9" s="26">
        <f t="shared" si="0"/>
        <v>0</v>
      </c>
      <c r="O9" s="37">
        <v>23.065000000000001</v>
      </c>
      <c r="P9" s="26" t="s">
        <v>30</v>
      </c>
      <c r="Q9" s="26" t="s">
        <v>30</v>
      </c>
      <c r="R9" s="26" t="s">
        <v>30</v>
      </c>
      <c r="S9" s="26" t="s">
        <v>30</v>
      </c>
      <c r="T9" s="37">
        <v>23.07</v>
      </c>
      <c r="U9" s="26" t="s">
        <v>30</v>
      </c>
      <c r="V9" s="26" t="s">
        <v>30</v>
      </c>
      <c r="W9" s="40">
        <v>11</v>
      </c>
      <c r="X9" s="26">
        <f>W9+T9</f>
        <v>34.07</v>
      </c>
      <c r="AA9" s="27" t="s">
        <v>37</v>
      </c>
      <c r="AB9" s="27" t="s">
        <v>34</v>
      </c>
      <c r="AC9" s="27" t="s">
        <v>35</v>
      </c>
      <c r="AD9" s="30" t="s">
        <v>30</v>
      </c>
      <c r="AE9" s="30" t="s">
        <v>30</v>
      </c>
      <c r="AF9" s="28">
        <f t="shared" si="1"/>
        <v>23.065000000000001</v>
      </c>
      <c r="AG9" s="22">
        <f>AF9-T9</f>
        <v>-4.9999999999990052E-3</v>
      </c>
      <c r="AH9" s="22">
        <f t="shared" ref="AH9:AH14" si="4">IF(AG9-W9&lt;0,0,AG9-W9)</f>
        <v>0</v>
      </c>
      <c r="AI9" s="22">
        <f>IF(X9-AF9&lt;0,0,X9-AF9)</f>
        <v>11.004999999999999</v>
      </c>
    </row>
    <row r="10" spans="1:36" x14ac:dyDescent="0.35">
      <c r="A10" s="27" t="s">
        <v>37</v>
      </c>
      <c r="B10" s="27" t="s">
        <v>36</v>
      </c>
      <c r="C10" s="27" t="s">
        <v>35</v>
      </c>
      <c r="D10" s="29" t="s">
        <v>30</v>
      </c>
      <c r="E10" s="29" t="s">
        <v>30</v>
      </c>
      <c r="F10" s="26">
        <v>31.48</v>
      </c>
      <c r="G10" s="37">
        <v>0</v>
      </c>
      <c r="I10" s="27" t="s">
        <v>37</v>
      </c>
      <c r="J10" s="27" t="s">
        <v>36</v>
      </c>
      <c r="K10" s="27" t="s">
        <v>35</v>
      </c>
      <c r="L10" s="29" t="s">
        <v>30</v>
      </c>
      <c r="M10" s="29" t="s">
        <v>30</v>
      </c>
      <c r="N10" s="26">
        <f t="shared" si="0"/>
        <v>0</v>
      </c>
      <c r="O10" s="37">
        <v>31.99</v>
      </c>
      <c r="P10" s="26" t="s">
        <v>30</v>
      </c>
      <c r="Q10" s="26" t="s">
        <v>30</v>
      </c>
      <c r="R10" s="26" t="s">
        <v>30</v>
      </c>
      <c r="S10" s="26" t="s">
        <v>30</v>
      </c>
      <c r="T10" s="37">
        <v>31.99</v>
      </c>
      <c r="U10" s="26" t="s">
        <v>30</v>
      </c>
      <c r="V10" s="31" t="s">
        <v>30</v>
      </c>
      <c r="W10" s="41">
        <v>25</v>
      </c>
      <c r="X10" s="29">
        <f>W10+T10</f>
        <v>56.989999999999995</v>
      </c>
      <c r="AA10" s="27" t="s">
        <v>37</v>
      </c>
      <c r="AB10" s="27" t="s">
        <v>36</v>
      </c>
      <c r="AC10" s="27" t="s">
        <v>35</v>
      </c>
      <c r="AD10" s="30" t="s">
        <v>30</v>
      </c>
      <c r="AE10" s="30" t="s">
        <v>30</v>
      </c>
      <c r="AF10" s="28">
        <f t="shared" si="1"/>
        <v>31.99</v>
      </c>
      <c r="AG10" s="22">
        <f>AF10-T10</f>
        <v>0</v>
      </c>
      <c r="AH10" s="22">
        <f t="shared" si="4"/>
        <v>0</v>
      </c>
      <c r="AI10" s="22">
        <f t="shared" si="3"/>
        <v>24.999999999999996</v>
      </c>
    </row>
    <row r="11" spans="1:36" x14ac:dyDescent="0.35">
      <c r="A11" s="45" t="s">
        <v>38</v>
      </c>
      <c r="B11" s="45" t="s">
        <v>34</v>
      </c>
      <c r="C11" s="27" t="s">
        <v>39</v>
      </c>
      <c r="D11" s="29" t="s">
        <v>30</v>
      </c>
      <c r="E11" s="29" t="s">
        <v>30</v>
      </c>
      <c r="F11" s="26">
        <v>36</v>
      </c>
      <c r="G11" s="37">
        <v>0</v>
      </c>
      <c r="I11" s="45" t="s">
        <v>38</v>
      </c>
      <c r="J11" s="45" t="s">
        <v>34</v>
      </c>
      <c r="K11" s="27" t="s">
        <v>39</v>
      </c>
      <c r="L11" s="29" t="s">
        <v>30</v>
      </c>
      <c r="M11" s="29" t="s">
        <v>30</v>
      </c>
      <c r="N11" s="26">
        <f t="shared" si="0"/>
        <v>0</v>
      </c>
      <c r="O11" s="37">
        <v>101.69</v>
      </c>
      <c r="P11" s="26" t="s">
        <v>30</v>
      </c>
      <c r="Q11" s="26" t="s">
        <v>30</v>
      </c>
      <c r="R11" s="26" t="s">
        <v>30</v>
      </c>
      <c r="S11" s="26" t="s">
        <v>30</v>
      </c>
      <c r="T11" s="26" t="s">
        <v>30</v>
      </c>
      <c r="U11" s="36">
        <f>ROUND(T29*0.3,2)</f>
        <v>10.52</v>
      </c>
      <c r="V11" s="31" t="s">
        <v>30</v>
      </c>
      <c r="W11" s="41">
        <f>48*0.75</f>
        <v>36</v>
      </c>
      <c r="X11" s="29">
        <f>W11+U11</f>
        <v>46.519999999999996</v>
      </c>
      <c r="AA11" s="45" t="s">
        <v>38</v>
      </c>
      <c r="AB11" s="45" t="s">
        <v>34</v>
      </c>
      <c r="AC11" s="27" t="s">
        <v>39</v>
      </c>
      <c r="AD11" s="30" t="s">
        <v>30</v>
      </c>
      <c r="AE11" s="30" t="s">
        <v>30</v>
      </c>
      <c r="AF11" s="28">
        <f>O11</f>
        <v>101.69</v>
      </c>
      <c r="AG11" s="22">
        <f>AF11-U11</f>
        <v>91.17</v>
      </c>
      <c r="AH11" s="22">
        <f t="shared" si="4"/>
        <v>55.17</v>
      </c>
      <c r="AI11" s="22">
        <f>IF(X11-AF11&lt;0,0,X11-AF11)</f>
        <v>0</v>
      </c>
    </row>
    <row r="12" spans="1:36" x14ac:dyDescent="0.35">
      <c r="A12" s="45"/>
      <c r="B12" s="45"/>
      <c r="C12" s="27" t="s">
        <v>40</v>
      </c>
      <c r="D12" s="29" t="s">
        <v>30</v>
      </c>
      <c r="E12" s="29" t="s">
        <v>30</v>
      </c>
      <c r="F12" s="26">
        <v>12</v>
      </c>
      <c r="G12" s="37">
        <v>0</v>
      </c>
      <c r="I12" s="45"/>
      <c r="J12" s="45"/>
      <c r="K12" s="27" t="s">
        <v>40</v>
      </c>
      <c r="L12" s="29" t="s">
        <v>30</v>
      </c>
      <c r="M12" s="29" t="s">
        <v>30</v>
      </c>
      <c r="N12" s="26">
        <f t="shared" si="0"/>
        <v>0</v>
      </c>
      <c r="O12" s="37">
        <v>0.18</v>
      </c>
      <c r="P12" s="26" t="s">
        <v>30</v>
      </c>
      <c r="Q12" s="26" t="s">
        <v>30</v>
      </c>
      <c r="R12" s="37">
        <v>0.18</v>
      </c>
      <c r="S12" s="26" t="s">
        <v>30</v>
      </c>
      <c r="T12" s="26" t="s">
        <v>30</v>
      </c>
      <c r="U12" s="26" t="s">
        <v>30</v>
      </c>
      <c r="V12" s="31" t="s">
        <v>30</v>
      </c>
      <c r="W12" s="41">
        <f>48*0.25</f>
        <v>12</v>
      </c>
      <c r="X12" s="29">
        <f>W12+R12</f>
        <v>12.18</v>
      </c>
      <c r="AA12" s="45"/>
      <c r="AB12" s="45"/>
      <c r="AC12" s="27" t="s">
        <v>40</v>
      </c>
      <c r="AD12" s="30" t="s">
        <v>30</v>
      </c>
      <c r="AE12" s="30" t="s">
        <v>30</v>
      </c>
      <c r="AF12" s="28">
        <f t="shared" si="1"/>
        <v>0.18</v>
      </c>
      <c r="AG12" s="22">
        <f>AF12-R12</f>
        <v>0</v>
      </c>
      <c r="AH12" s="22">
        <f t="shared" si="4"/>
        <v>0</v>
      </c>
      <c r="AI12" s="22">
        <f t="shared" si="3"/>
        <v>12</v>
      </c>
    </row>
    <row r="13" spans="1:36" x14ac:dyDescent="0.35">
      <c r="A13" s="45"/>
      <c r="B13" s="45" t="s">
        <v>36</v>
      </c>
      <c r="C13" s="27" t="s">
        <v>39</v>
      </c>
      <c r="D13" s="29" t="s">
        <v>30</v>
      </c>
      <c r="E13" s="29" t="s">
        <v>30</v>
      </c>
      <c r="F13" s="26">
        <v>84</v>
      </c>
      <c r="G13" s="37">
        <v>0</v>
      </c>
      <c r="I13" s="45"/>
      <c r="J13" s="45" t="s">
        <v>36</v>
      </c>
      <c r="K13" s="27" t="s">
        <v>39</v>
      </c>
      <c r="L13" s="29" t="s">
        <v>30</v>
      </c>
      <c r="M13" s="29" t="s">
        <v>30</v>
      </c>
      <c r="N13" s="26">
        <f t="shared" si="0"/>
        <v>0</v>
      </c>
      <c r="O13" s="37">
        <v>30.76</v>
      </c>
      <c r="P13" s="26" t="s">
        <v>30</v>
      </c>
      <c r="Q13" s="26" t="s">
        <v>30</v>
      </c>
      <c r="R13" s="26" t="s">
        <v>30</v>
      </c>
      <c r="S13" s="26" t="s">
        <v>30</v>
      </c>
      <c r="T13" s="26" t="s">
        <v>30</v>
      </c>
      <c r="U13" s="36">
        <f>T29-U11</f>
        <v>24.530000000000012</v>
      </c>
      <c r="V13" s="31" t="s">
        <v>30</v>
      </c>
      <c r="W13" s="41">
        <f>112*0.75</f>
        <v>84</v>
      </c>
      <c r="X13" s="29">
        <f>W13+U13</f>
        <v>108.53000000000002</v>
      </c>
      <c r="AA13" s="45"/>
      <c r="AB13" s="45" t="s">
        <v>36</v>
      </c>
      <c r="AC13" s="27" t="s">
        <v>39</v>
      </c>
      <c r="AD13" s="30" t="s">
        <v>30</v>
      </c>
      <c r="AE13" s="30" t="s">
        <v>30</v>
      </c>
      <c r="AF13" s="28">
        <f t="shared" si="1"/>
        <v>30.76</v>
      </c>
      <c r="AG13" s="22">
        <f>AF13-U13</f>
        <v>6.2299999999999898</v>
      </c>
      <c r="AH13" s="22">
        <f t="shared" si="4"/>
        <v>0</v>
      </c>
      <c r="AI13" s="22">
        <f t="shared" si="3"/>
        <v>77.77000000000001</v>
      </c>
    </row>
    <row r="14" spans="1:36" x14ac:dyDescent="0.35">
      <c r="A14" s="45"/>
      <c r="B14" s="45"/>
      <c r="C14" s="27" t="s">
        <v>40</v>
      </c>
      <c r="D14" s="29" t="s">
        <v>30</v>
      </c>
      <c r="E14" s="29" t="s">
        <v>30</v>
      </c>
      <c r="F14" s="26">
        <v>28</v>
      </c>
      <c r="G14" s="37">
        <v>0</v>
      </c>
      <c r="I14" s="45"/>
      <c r="J14" s="45"/>
      <c r="K14" s="27" t="s">
        <v>40</v>
      </c>
      <c r="L14" s="29" t="s">
        <v>30</v>
      </c>
      <c r="M14" s="29" t="s">
        <v>30</v>
      </c>
      <c r="N14" s="26">
        <f t="shared" si="0"/>
        <v>0</v>
      </c>
      <c r="O14" s="37">
        <v>0</v>
      </c>
      <c r="P14" s="26" t="s">
        <v>30</v>
      </c>
      <c r="Q14" s="26" t="s">
        <v>30</v>
      </c>
      <c r="R14" s="37">
        <v>0</v>
      </c>
      <c r="S14" s="26" t="s">
        <v>30</v>
      </c>
      <c r="T14" s="26" t="s">
        <v>30</v>
      </c>
      <c r="U14" s="26" t="s">
        <v>30</v>
      </c>
      <c r="V14" s="32" t="s">
        <v>30</v>
      </c>
      <c r="W14" s="41">
        <f>112*0.25</f>
        <v>28</v>
      </c>
      <c r="X14" s="29">
        <f>W14+R14</f>
        <v>28</v>
      </c>
      <c r="AA14" s="45"/>
      <c r="AB14" s="45"/>
      <c r="AC14" s="27" t="s">
        <v>40</v>
      </c>
      <c r="AD14" s="30" t="s">
        <v>30</v>
      </c>
      <c r="AE14" s="30" t="s">
        <v>30</v>
      </c>
      <c r="AF14" s="28">
        <f t="shared" si="1"/>
        <v>0</v>
      </c>
      <c r="AG14" s="22">
        <v>0</v>
      </c>
      <c r="AH14" s="22">
        <f t="shared" si="4"/>
        <v>0</v>
      </c>
      <c r="AI14" s="22">
        <f t="shared" si="3"/>
        <v>28</v>
      </c>
    </row>
    <row r="15" spans="1:36" ht="40" customHeight="1" x14ac:dyDescent="0.35">
      <c r="A15" s="58" t="s">
        <v>41</v>
      </c>
      <c r="B15" s="58" t="s">
        <v>30</v>
      </c>
      <c r="C15" s="45" t="s">
        <v>42</v>
      </c>
      <c r="D15" s="61" t="s">
        <v>43</v>
      </c>
      <c r="E15" s="26" t="s">
        <v>44</v>
      </c>
      <c r="F15" s="26">
        <v>6.43</v>
      </c>
      <c r="G15" s="37">
        <v>6.43</v>
      </c>
      <c r="I15" s="58" t="s">
        <v>41</v>
      </c>
      <c r="J15" s="58" t="s">
        <v>30</v>
      </c>
      <c r="K15" s="45" t="s">
        <v>42</v>
      </c>
      <c r="L15" s="61" t="s">
        <v>43</v>
      </c>
      <c r="M15" s="26" t="s">
        <v>44</v>
      </c>
      <c r="N15" s="26">
        <f>$H$30*0.25*0.7*0.25</f>
        <v>1.5098124999999998</v>
      </c>
      <c r="O15" s="73">
        <v>0</v>
      </c>
      <c r="P15" s="57" t="s">
        <v>30</v>
      </c>
      <c r="Q15" s="57" t="s">
        <v>30</v>
      </c>
      <c r="R15" s="26" t="s">
        <v>30</v>
      </c>
      <c r="S15" s="79" t="s">
        <v>30</v>
      </c>
      <c r="T15" s="57" t="s">
        <v>30</v>
      </c>
      <c r="U15" s="76" t="s">
        <v>30</v>
      </c>
      <c r="V15" s="33">
        <v>0</v>
      </c>
      <c r="W15" s="39">
        <f>107*0.25*0.7*0.25</f>
        <v>4.6812499999999995</v>
      </c>
      <c r="X15" s="26">
        <f>W15+V15+N15</f>
        <v>6.1910624999999992</v>
      </c>
      <c r="AA15" s="45" t="s">
        <v>45</v>
      </c>
      <c r="AB15" s="45" t="s">
        <v>30</v>
      </c>
      <c r="AC15" s="45" t="s">
        <v>42</v>
      </c>
      <c r="AD15" s="67" t="s">
        <v>43</v>
      </c>
      <c r="AE15" s="19" t="s">
        <v>44</v>
      </c>
      <c r="AF15" s="70">
        <f>O15</f>
        <v>0</v>
      </c>
      <c r="AG15" s="50">
        <f>AF15-SUM(V15:V20)</f>
        <v>0</v>
      </c>
      <c r="AH15" s="64">
        <f>IF(AG15-SUM(W15:W20)&lt;0,0,AG15-SUM(W15:W20))</f>
        <v>0</v>
      </c>
      <c r="AI15" s="22">
        <f>IF(X15-AF$15&lt;0,0,X15-AF$15)</f>
        <v>6.1910624999999992</v>
      </c>
    </row>
    <row r="16" spans="1:36" ht="40" x14ac:dyDescent="0.35">
      <c r="A16" s="59"/>
      <c r="B16" s="59"/>
      <c r="C16" s="45"/>
      <c r="D16" s="62"/>
      <c r="E16" s="26" t="s">
        <v>46</v>
      </c>
      <c r="F16" s="26">
        <v>12.87</v>
      </c>
      <c r="G16" s="37">
        <v>11.87</v>
      </c>
      <c r="I16" s="59"/>
      <c r="J16" s="59"/>
      <c r="K16" s="45"/>
      <c r="L16" s="62"/>
      <c r="M16" s="26" t="s">
        <v>46</v>
      </c>
      <c r="N16" s="26">
        <f>$H$30*0.25*0.7*0.5</f>
        <v>3.0196249999999996</v>
      </c>
      <c r="O16" s="74"/>
      <c r="P16" s="57"/>
      <c r="Q16" s="57"/>
      <c r="R16" s="26" t="s">
        <v>30</v>
      </c>
      <c r="S16" s="79"/>
      <c r="T16" s="57"/>
      <c r="U16" s="77"/>
      <c r="V16" s="33">
        <v>0</v>
      </c>
      <c r="W16" s="29">
        <f>107*0.25*0.7*0.5</f>
        <v>9.3624999999999989</v>
      </c>
      <c r="X16" s="26">
        <f t="shared" ref="X16:X20" si="5">W16+V16+N16</f>
        <v>12.382124999999998</v>
      </c>
      <c r="Y16" s="21"/>
      <c r="AA16" s="45"/>
      <c r="AB16" s="45"/>
      <c r="AC16" s="45"/>
      <c r="AD16" s="68"/>
      <c r="AE16" s="19" t="s">
        <v>46</v>
      </c>
      <c r="AF16" s="71"/>
      <c r="AG16" s="50"/>
      <c r="AH16" s="65"/>
      <c r="AI16" s="22">
        <f>IF(X16-AF$15&lt;0,0,X16-AF$15)</f>
        <v>12.382124999999998</v>
      </c>
    </row>
    <row r="17" spans="1:35" ht="40" x14ac:dyDescent="0.35">
      <c r="A17" s="59"/>
      <c r="B17" s="59"/>
      <c r="C17" s="45"/>
      <c r="D17" s="63"/>
      <c r="E17" s="26" t="s">
        <v>47</v>
      </c>
      <c r="F17" s="26">
        <v>6.43</v>
      </c>
      <c r="G17" s="37">
        <v>6.43</v>
      </c>
      <c r="I17" s="59"/>
      <c r="J17" s="59"/>
      <c r="K17" s="45"/>
      <c r="L17" s="63"/>
      <c r="M17" s="26" t="s">
        <v>47</v>
      </c>
      <c r="N17" s="26">
        <f>$H$30*0.25*0.7*0.25</f>
        <v>1.5098124999999998</v>
      </c>
      <c r="O17" s="74"/>
      <c r="P17" s="57"/>
      <c r="Q17" s="57"/>
      <c r="R17" s="26" t="s">
        <v>30</v>
      </c>
      <c r="S17" s="79"/>
      <c r="T17" s="57"/>
      <c r="U17" s="77"/>
      <c r="V17" s="33">
        <v>0</v>
      </c>
      <c r="W17" s="29">
        <f>107*0.25*0.7*0.25</f>
        <v>4.6812499999999995</v>
      </c>
      <c r="X17" s="26">
        <f t="shared" si="5"/>
        <v>6.1910624999999992</v>
      </c>
      <c r="AA17" s="45"/>
      <c r="AB17" s="45"/>
      <c r="AC17" s="45"/>
      <c r="AD17" s="69"/>
      <c r="AE17" s="19" t="s">
        <v>47</v>
      </c>
      <c r="AF17" s="71"/>
      <c r="AG17" s="50"/>
      <c r="AH17" s="65"/>
      <c r="AI17" s="22">
        <f t="shared" ref="AI17:AI20" si="6">IF(X17-AF$15&lt;0,0,X17-AF$15)</f>
        <v>6.1910624999999992</v>
      </c>
    </row>
    <row r="18" spans="1:35" x14ac:dyDescent="0.35">
      <c r="A18" s="59"/>
      <c r="B18" s="59"/>
      <c r="C18" s="45"/>
      <c r="D18" s="61" t="s">
        <v>48</v>
      </c>
      <c r="E18" s="26" t="s">
        <v>44</v>
      </c>
      <c r="F18" s="26">
        <v>2.76</v>
      </c>
      <c r="G18" s="37">
        <v>2.76</v>
      </c>
      <c r="I18" s="59"/>
      <c r="J18" s="59"/>
      <c r="K18" s="45"/>
      <c r="L18" s="61" t="s">
        <v>48</v>
      </c>
      <c r="M18" s="26" t="s">
        <v>44</v>
      </c>
      <c r="N18" s="26">
        <f>$H$30*0.25*0.3*0.25</f>
        <v>0.64706249999999998</v>
      </c>
      <c r="O18" s="74"/>
      <c r="P18" s="57"/>
      <c r="Q18" s="57"/>
      <c r="R18" s="26" t="s">
        <v>30</v>
      </c>
      <c r="S18" s="79"/>
      <c r="T18" s="57"/>
      <c r="U18" s="77"/>
      <c r="V18" s="33">
        <v>0</v>
      </c>
      <c r="W18" s="29">
        <f>107*0.25*0.3*0.25</f>
        <v>2.0062500000000001</v>
      </c>
      <c r="X18" s="26">
        <f t="shared" si="5"/>
        <v>2.6533125000000002</v>
      </c>
      <c r="AA18" s="45"/>
      <c r="AB18" s="45"/>
      <c r="AC18" s="45"/>
      <c r="AD18" s="67" t="s">
        <v>48</v>
      </c>
      <c r="AE18" s="19" t="s">
        <v>44</v>
      </c>
      <c r="AF18" s="71"/>
      <c r="AG18" s="50"/>
      <c r="AH18" s="65"/>
      <c r="AI18" s="22">
        <f t="shared" si="6"/>
        <v>2.6533125000000002</v>
      </c>
    </row>
    <row r="19" spans="1:35" ht="40" x14ac:dyDescent="0.35">
      <c r="A19" s="59"/>
      <c r="B19" s="59"/>
      <c r="C19" s="45"/>
      <c r="D19" s="62"/>
      <c r="E19" s="26" t="s">
        <v>46</v>
      </c>
      <c r="F19" s="26">
        <v>5.51</v>
      </c>
      <c r="G19" s="37">
        <v>5.51</v>
      </c>
      <c r="I19" s="59"/>
      <c r="J19" s="59"/>
      <c r="K19" s="45"/>
      <c r="L19" s="62"/>
      <c r="M19" s="26" t="s">
        <v>46</v>
      </c>
      <c r="N19" s="26">
        <f>$H$30*0.25*0.3*0.5</f>
        <v>1.294125</v>
      </c>
      <c r="O19" s="74"/>
      <c r="P19" s="57"/>
      <c r="Q19" s="57"/>
      <c r="R19" s="26" t="s">
        <v>30</v>
      </c>
      <c r="S19" s="79"/>
      <c r="T19" s="57"/>
      <c r="U19" s="77"/>
      <c r="V19" s="33">
        <v>0</v>
      </c>
      <c r="W19" s="29">
        <f>107*0.25*0.3*0.5</f>
        <v>4.0125000000000002</v>
      </c>
      <c r="X19" s="26">
        <f t="shared" si="5"/>
        <v>5.3066250000000004</v>
      </c>
      <c r="AA19" s="45"/>
      <c r="AB19" s="45"/>
      <c r="AC19" s="45"/>
      <c r="AD19" s="68"/>
      <c r="AE19" s="19" t="s">
        <v>46</v>
      </c>
      <c r="AF19" s="71"/>
      <c r="AG19" s="50"/>
      <c r="AH19" s="65"/>
      <c r="AI19" s="22">
        <f t="shared" si="6"/>
        <v>5.3066250000000004</v>
      </c>
    </row>
    <row r="20" spans="1:35" ht="40" x14ac:dyDescent="0.35">
      <c r="A20" s="60"/>
      <c r="B20" s="60"/>
      <c r="C20" s="45"/>
      <c r="D20" s="63"/>
      <c r="E20" s="26" t="s">
        <v>47</v>
      </c>
      <c r="F20" s="26">
        <v>2.76</v>
      </c>
      <c r="G20" s="37">
        <v>2.76</v>
      </c>
      <c r="I20" s="60"/>
      <c r="J20" s="60"/>
      <c r="K20" s="45"/>
      <c r="L20" s="63"/>
      <c r="M20" s="26" t="s">
        <v>47</v>
      </c>
      <c r="N20" s="26">
        <f>$H$30*0.25*0.3*0.25</f>
        <v>0.64706249999999998</v>
      </c>
      <c r="O20" s="75"/>
      <c r="P20" s="57"/>
      <c r="Q20" s="57"/>
      <c r="R20" s="26" t="s">
        <v>30</v>
      </c>
      <c r="S20" s="79"/>
      <c r="T20" s="57"/>
      <c r="U20" s="77"/>
      <c r="V20" s="33">
        <v>0</v>
      </c>
      <c r="W20" s="29">
        <f>107*0.25*0.3*0.25</f>
        <v>2.0062500000000001</v>
      </c>
      <c r="X20" s="26">
        <f t="shared" si="5"/>
        <v>2.6533125000000002</v>
      </c>
      <c r="AA20" s="45"/>
      <c r="AB20" s="45"/>
      <c r="AC20" s="45"/>
      <c r="AD20" s="69"/>
      <c r="AE20" s="19" t="s">
        <v>47</v>
      </c>
      <c r="AF20" s="72"/>
      <c r="AG20" s="50"/>
      <c r="AH20" s="66"/>
      <c r="AI20" s="22">
        <f t="shared" si="6"/>
        <v>2.6533125000000002</v>
      </c>
    </row>
    <row r="21" spans="1:35" ht="41.15" customHeight="1" x14ac:dyDescent="0.35">
      <c r="A21" s="58" t="s">
        <v>49</v>
      </c>
      <c r="B21" s="58" t="s">
        <v>30</v>
      </c>
      <c r="C21" s="45" t="s">
        <v>50</v>
      </c>
      <c r="D21" s="61" t="s">
        <v>43</v>
      </c>
      <c r="E21" s="26" t="s">
        <v>44</v>
      </c>
      <c r="F21" s="26">
        <v>19.3</v>
      </c>
      <c r="G21" s="37">
        <v>17.150000000000002</v>
      </c>
      <c r="I21" s="58" t="s">
        <v>49</v>
      </c>
      <c r="J21" s="58" t="s">
        <v>30</v>
      </c>
      <c r="K21" s="45" t="s">
        <v>50</v>
      </c>
      <c r="L21" s="61" t="s">
        <v>43</v>
      </c>
      <c r="M21" s="26" t="s">
        <v>44</v>
      </c>
      <c r="N21" s="26">
        <f>$H$30*0.75*0.7*0.25</f>
        <v>4.5294374999999993</v>
      </c>
      <c r="O21" s="73">
        <v>0</v>
      </c>
      <c r="P21" s="57"/>
      <c r="Q21" s="57"/>
      <c r="R21" s="26" t="s">
        <v>30</v>
      </c>
      <c r="S21" s="73">
        <v>0</v>
      </c>
      <c r="T21" s="57"/>
      <c r="U21" s="78"/>
      <c r="V21" s="33">
        <v>0</v>
      </c>
      <c r="W21" s="26">
        <f>107*0.75*0.7*0.25</f>
        <v>14.043749999999999</v>
      </c>
      <c r="X21" s="26">
        <f t="shared" ref="X21:X25" si="7">W21+S21+N21</f>
        <v>18.5731875</v>
      </c>
      <c r="AA21" s="45"/>
      <c r="AB21" s="45"/>
      <c r="AC21" s="45" t="s">
        <v>50</v>
      </c>
      <c r="AD21" s="67" t="s">
        <v>43</v>
      </c>
      <c r="AE21" s="19" t="s">
        <v>44</v>
      </c>
      <c r="AF21" s="70">
        <f>O21</f>
        <v>0</v>
      </c>
      <c r="AG21" s="50">
        <f>AF21-SUM(V21:V26)</f>
        <v>0</v>
      </c>
      <c r="AH21" s="64">
        <f>IF(AG21-SUM(W21:W26)&lt;0,0,AG21-SUM(W21:W26))</f>
        <v>0</v>
      </c>
      <c r="AI21" s="22">
        <f>IF(X21-AF21&lt;0,0,X21-AF21)</f>
        <v>18.5731875</v>
      </c>
    </row>
    <row r="22" spans="1:35" ht="40" x14ac:dyDescent="0.35">
      <c r="A22" s="59"/>
      <c r="B22" s="59"/>
      <c r="C22" s="45"/>
      <c r="D22" s="62"/>
      <c r="E22" s="26" t="s">
        <v>51</v>
      </c>
      <c r="F22" s="26">
        <v>38.6</v>
      </c>
      <c r="G22" s="37">
        <v>33.71</v>
      </c>
      <c r="I22" s="59"/>
      <c r="J22" s="59"/>
      <c r="K22" s="45"/>
      <c r="L22" s="62"/>
      <c r="M22" s="26" t="s">
        <v>51</v>
      </c>
      <c r="N22" s="26">
        <f>$H$30*0.75*0.7*0.5</f>
        <v>9.0588749999999987</v>
      </c>
      <c r="O22" s="74"/>
      <c r="P22" s="57"/>
      <c r="Q22" s="57"/>
      <c r="R22" s="26" t="s">
        <v>30</v>
      </c>
      <c r="S22" s="74"/>
      <c r="T22" s="57"/>
      <c r="U22" s="78"/>
      <c r="V22" s="33">
        <v>0</v>
      </c>
      <c r="W22" s="26">
        <f>107*0.75*0.7*0.5</f>
        <v>28.087499999999999</v>
      </c>
      <c r="X22" s="26">
        <f t="shared" si="7"/>
        <v>37.146374999999999</v>
      </c>
      <c r="Y22" s="21"/>
      <c r="AA22" s="45"/>
      <c r="AB22" s="45"/>
      <c r="AC22" s="45"/>
      <c r="AD22" s="68"/>
      <c r="AE22" s="19" t="s">
        <v>51</v>
      </c>
      <c r="AF22" s="71"/>
      <c r="AG22" s="50"/>
      <c r="AH22" s="65"/>
      <c r="AI22" s="22">
        <f>IF(X22-AF21&lt;0,0,X22-AF21)</f>
        <v>37.146374999999999</v>
      </c>
    </row>
    <row r="23" spans="1:35" ht="40" x14ac:dyDescent="0.35">
      <c r="A23" s="59"/>
      <c r="B23" s="59"/>
      <c r="C23" s="45"/>
      <c r="D23" s="63"/>
      <c r="E23" s="26" t="s">
        <v>47</v>
      </c>
      <c r="F23" s="26">
        <v>19.3</v>
      </c>
      <c r="G23" s="37">
        <v>19.3</v>
      </c>
      <c r="I23" s="59"/>
      <c r="J23" s="59"/>
      <c r="K23" s="45"/>
      <c r="L23" s="63"/>
      <c r="M23" s="26" t="s">
        <v>47</v>
      </c>
      <c r="N23" s="26">
        <f>$H$30*0.75*0.7*0.25</f>
        <v>4.5294374999999993</v>
      </c>
      <c r="O23" s="74"/>
      <c r="P23" s="57"/>
      <c r="Q23" s="57"/>
      <c r="R23" s="26" t="s">
        <v>30</v>
      </c>
      <c r="S23" s="74"/>
      <c r="T23" s="57"/>
      <c r="U23" s="78"/>
      <c r="V23" s="33">
        <v>0</v>
      </c>
      <c r="W23" s="26">
        <f>107*0.75*0.7*0.25</f>
        <v>14.043749999999999</v>
      </c>
      <c r="X23" s="26">
        <f t="shared" si="7"/>
        <v>18.5731875</v>
      </c>
      <c r="AA23" s="45"/>
      <c r="AB23" s="45"/>
      <c r="AC23" s="45"/>
      <c r="AD23" s="69"/>
      <c r="AE23" s="19" t="s">
        <v>47</v>
      </c>
      <c r="AF23" s="71"/>
      <c r="AG23" s="50"/>
      <c r="AH23" s="65"/>
      <c r="AI23" s="22">
        <f>IF(X23-AF21&lt;0,0,X23-AF21)</f>
        <v>18.5731875</v>
      </c>
    </row>
    <row r="24" spans="1:35" ht="40" customHeight="1" x14ac:dyDescent="0.35">
      <c r="A24" s="59"/>
      <c r="B24" s="59"/>
      <c r="C24" s="45"/>
      <c r="D24" s="61" t="s">
        <v>48</v>
      </c>
      <c r="E24" s="26" t="s">
        <v>44</v>
      </c>
      <c r="F24" s="26">
        <v>8.27</v>
      </c>
      <c r="G24" s="37">
        <v>8.07</v>
      </c>
      <c r="I24" s="59"/>
      <c r="J24" s="59"/>
      <c r="K24" s="45"/>
      <c r="L24" s="61" t="s">
        <v>48</v>
      </c>
      <c r="M24" s="26" t="s">
        <v>44</v>
      </c>
      <c r="N24" s="26">
        <f>$H$30*0.75*0.3*0.25</f>
        <v>1.9411874999999998</v>
      </c>
      <c r="O24" s="74"/>
      <c r="P24" s="57"/>
      <c r="Q24" s="57"/>
      <c r="R24" s="26" t="s">
        <v>30</v>
      </c>
      <c r="S24" s="74"/>
      <c r="T24" s="57"/>
      <c r="U24" s="78"/>
      <c r="V24" s="33">
        <v>0</v>
      </c>
      <c r="W24" s="26">
        <f>107*0.75*0.3*0.25</f>
        <v>6.0187499999999998</v>
      </c>
      <c r="X24" s="26">
        <f t="shared" si="7"/>
        <v>7.9599374999999997</v>
      </c>
      <c r="AA24" s="45"/>
      <c r="AB24" s="45"/>
      <c r="AC24" s="45"/>
      <c r="AD24" s="67" t="s">
        <v>48</v>
      </c>
      <c r="AE24" s="19" t="s">
        <v>44</v>
      </c>
      <c r="AF24" s="71"/>
      <c r="AG24" s="50"/>
      <c r="AH24" s="65"/>
      <c r="AI24" s="22">
        <f>IF(X24-AF21&lt;0,0,X24-AF21)</f>
        <v>7.9599374999999997</v>
      </c>
    </row>
    <row r="25" spans="1:35" ht="40" x14ac:dyDescent="0.35">
      <c r="A25" s="59"/>
      <c r="B25" s="59"/>
      <c r="C25" s="45"/>
      <c r="D25" s="62"/>
      <c r="E25" s="26" t="s">
        <v>46</v>
      </c>
      <c r="F25" s="26">
        <v>16.54</v>
      </c>
      <c r="G25" s="37">
        <v>15.76</v>
      </c>
      <c r="I25" s="59"/>
      <c r="J25" s="59"/>
      <c r="K25" s="45"/>
      <c r="L25" s="62"/>
      <c r="M25" s="26" t="s">
        <v>46</v>
      </c>
      <c r="N25" s="26">
        <f>$H$30*0.75*0.3*0.5</f>
        <v>3.8823749999999997</v>
      </c>
      <c r="O25" s="74"/>
      <c r="P25" s="57"/>
      <c r="Q25" s="57"/>
      <c r="R25" s="26" t="s">
        <v>30</v>
      </c>
      <c r="S25" s="74"/>
      <c r="T25" s="57"/>
      <c r="U25" s="78"/>
      <c r="V25" s="33">
        <v>0</v>
      </c>
      <c r="W25" s="26">
        <f>107*0.75*0.3*0.5</f>
        <v>12.0375</v>
      </c>
      <c r="X25" s="26">
        <f t="shared" si="7"/>
        <v>15.919874999999999</v>
      </c>
      <c r="AA25" s="45"/>
      <c r="AB25" s="45"/>
      <c r="AC25" s="45"/>
      <c r="AD25" s="68"/>
      <c r="AE25" s="19" t="s">
        <v>46</v>
      </c>
      <c r="AF25" s="71"/>
      <c r="AG25" s="50"/>
      <c r="AH25" s="65"/>
      <c r="AI25" s="22">
        <f>IF(X25-AF21&lt;0,0,X25-AF21)</f>
        <v>15.919874999999999</v>
      </c>
    </row>
    <row r="26" spans="1:35" ht="40" x14ac:dyDescent="0.35">
      <c r="A26" s="60"/>
      <c r="B26" s="60"/>
      <c r="C26" s="45"/>
      <c r="D26" s="63"/>
      <c r="E26" s="26" t="s">
        <v>47</v>
      </c>
      <c r="F26" s="26">
        <v>8.27</v>
      </c>
      <c r="G26" s="37">
        <v>8.27</v>
      </c>
      <c r="I26" s="60"/>
      <c r="J26" s="60"/>
      <c r="K26" s="45"/>
      <c r="L26" s="63"/>
      <c r="M26" s="26" t="s">
        <v>47</v>
      </c>
      <c r="N26" s="26">
        <f>$H$30*0.75*0.3*0.25</f>
        <v>1.9411874999999998</v>
      </c>
      <c r="O26" s="75"/>
      <c r="P26" s="57"/>
      <c r="Q26" s="57"/>
      <c r="R26" s="26" t="s">
        <v>30</v>
      </c>
      <c r="S26" s="75"/>
      <c r="T26" s="57"/>
      <c r="U26" s="49"/>
      <c r="V26" s="33">
        <v>0</v>
      </c>
      <c r="W26" s="26">
        <f>107*0.75*0.3*0.25</f>
        <v>6.0187499999999998</v>
      </c>
      <c r="X26" s="26">
        <f>W26+S26+N26</f>
        <v>7.9599374999999997</v>
      </c>
      <c r="AA26" s="45"/>
      <c r="AB26" s="45"/>
      <c r="AC26" s="45"/>
      <c r="AD26" s="69"/>
      <c r="AE26" s="19" t="s">
        <v>47</v>
      </c>
      <c r="AF26" s="72"/>
      <c r="AG26" s="50"/>
      <c r="AH26" s="66"/>
      <c r="AI26" s="22">
        <f>IF(X26-AF21&lt;0,0,X26-AF21)</f>
        <v>7.9599374999999997</v>
      </c>
    </row>
    <row r="27" spans="1:35" x14ac:dyDescent="0.35"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35" ht="105" customHeight="1" x14ac:dyDescent="0.35">
      <c r="E28" s="11"/>
      <c r="F28" s="11"/>
      <c r="G28" s="34" t="s">
        <v>52</v>
      </c>
      <c r="H28" s="23"/>
      <c r="L28" s="11"/>
      <c r="M28" s="11"/>
      <c r="N28" s="21"/>
      <c r="O28" s="11"/>
      <c r="P28" s="38" t="s">
        <v>53</v>
      </c>
      <c r="Q28" s="38" t="s">
        <v>54</v>
      </c>
      <c r="R28" s="38" t="s">
        <v>55</v>
      </c>
      <c r="S28" s="38" t="s">
        <v>56</v>
      </c>
      <c r="T28" s="38" t="s">
        <v>57</v>
      </c>
      <c r="U28" s="38" t="s">
        <v>58</v>
      </c>
      <c r="V28" s="38" t="s">
        <v>59</v>
      </c>
      <c r="W28" s="11"/>
      <c r="X28" s="44"/>
      <c r="AA28" s="20"/>
      <c r="AB28" s="20"/>
      <c r="AC28" s="20"/>
    </row>
    <row r="29" spans="1:35" ht="40" x14ac:dyDescent="0.35">
      <c r="E29" s="11"/>
      <c r="F29" s="11"/>
      <c r="G29" s="19" t="s">
        <v>60</v>
      </c>
      <c r="H29" s="24">
        <f>SUM(G15:G26)</f>
        <v>138.02000000000001</v>
      </c>
      <c r="L29" s="11"/>
      <c r="M29" s="11"/>
      <c r="N29" s="21"/>
      <c r="O29" s="11"/>
      <c r="P29" s="24">
        <f>H34-P3</f>
        <v>90.29000000000002</v>
      </c>
      <c r="Q29" s="24">
        <f>P29-Q5</f>
        <v>90.29000000000002</v>
      </c>
      <c r="R29" s="24">
        <f>Q29-SUM(R12,R14)</f>
        <v>90.110000000000014</v>
      </c>
      <c r="S29" s="24">
        <f>R29-SUM(S21:S26)</f>
        <v>90.110000000000014</v>
      </c>
      <c r="T29" s="24">
        <f>S29-SUM(T9:T10)</f>
        <v>35.050000000000011</v>
      </c>
      <c r="U29" s="24">
        <f>T29-SUM(U11,U13)</f>
        <v>0</v>
      </c>
      <c r="V29" s="24">
        <f>U29-SUM(V15:V20)</f>
        <v>0</v>
      </c>
      <c r="W29" s="11"/>
      <c r="X29" s="11"/>
      <c r="AA29" s="20"/>
      <c r="AB29" s="20"/>
      <c r="AC29" s="20"/>
    </row>
    <row r="30" spans="1:35" ht="58.15" customHeight="1" x14ac:dyDescent="0.35">
      <c r="E30" s="11"/>
      <c r="F30" s="11"/>
      <c r="G30" s="19" t="s">
        <v>61</v>
      </c>
      <c r="H30" s="24">
        <f>ROUND(H29*0.25,2)</f>
        <v>34.51</v>
      </c>
      <c r="I30" s="4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AA30" s="20"/>
      <c r="AB30" s="20"/>
      <c r="AC30" s="20"/>
    </row>
    <row r="31" spans="1:35" ht="40" x14ac:dyDescent="0.35">
      <c r="C31" s="25"/>
      <c r="E31" s="11"/>
      <c r="F31" s="11"/>
      <c r="G31" s="19" t="s">
        <v>62</v>
      </c>
      <c r="H31" s="24">
        <f>H29-H30</f>
        <v>103.51000000000002</v>
      </c>
      <c r="I31" s="43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AA31" s="20"/>
      <c r="AB31" s="20"/>
      <c r="AC31" s="20"/>
    </row>
    <row r="32" spans="1:35" x14ac:dyDescent="0.35">
      <c r="E32" s="11"/>
      <c r="F32" s="11"/>
      <c r="G32" s="11"/>
      <c r="H32" s="21"/>
      <c r="I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AB32" s="20"/>
    </row>
    <row r="33" spans="5:32" x14ac:dyDescent="0.35">
      <c r="E33" s="11"/>
      <c r="F33" s="11"/>
      <c r="G33" s="11"/>
      <c r="H33" s="21"/>
      <c r="I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AB33" s="20"/>
    </row>
    <row r="34" spans="5:32" ht="70.900000000000006" customHeight="1" x14ac:dyDescent="0.35">
      <c r="E34" s="11"/>
      <c r="F34" s="11"/>
      <c r="G34" s="38" t="s">
        <v>63</v>
      </c>
      <c r="H34" s="24">
        <f>SUM(G3:G14,H31)</f>
        <v>113.11000000000001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AA34" s="20"/>
      <c r="AB34" s="20"/>
      <c r="AC34" s="20"/>
    </row>
    <row r="35" spans="5:32" x14ac:dyDescent="0.35">
      <c r="AA35" s="20"/>
      <c r="AB35" s="20"/>
      <c r="AC35" s="20"/>
      <c r="AD35" s="20"/>
      <c r="AE35" s="20"/>
      <c r="AF35" s="20"/>
    </row>
    <row r="36" spans="5:32" x14ac:dyDescent="0.35">
      <c r="AA36" s="20"/>
      <c r="AB36" s="20"/>
      <c r="AC36" s="20"/>
      <c r="AD36" s="20"/>
      <c r="AE36" s="20"/>
      <c r="AF36" s="20"/>
    </row>
    <row r="37" spans="5:32" x14ac:dyDescent="0.35">
      <c r="AA37" s="20"/>
      <c r="AB37" s="20"/>
      <c r="AC37" s="20"/>
      <c r="AD37" s="20"/>
      <c r="AE37" s="20"/>
      <c r="AF37" s="20"/>
    </row>
    <row r="38" spans="5:32" x14ac:dyDescent="0.35">
      <c r="AA38" s="20"/>
      <c r="AB38" s="20"/>
      <c r="AC38" s="20"/>
      <c r="AD38" s="20"/>
      <c r="AE38" s="20"/>
      <c r="AF38" s="20"/>
    </row>
    <row r="39" spans="5:32" x14ac:dyDescent="0.35">
      <c r="E39" s="11"/>
      <c r="F39" s="11"/>
      <c r="G39" s="11"/>
      <c r="H39" s="11"/>
      <c r="J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AA39" s="20"/>
      <c r="AC39" s="20"/>
    </row>
    <row r="40" spans="5:32" x14ac:dyDescent="0.35">
      <c r="E40" s="11"/>
      <c r="F40" s="11"/>
      <c r="G40" s="11"/>
      <c r="H40" s="11"/>
      <c r="J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AA40" s="20"/>
      <c r="AC40" s="20"/>
    </row>
  </sheetData>
  <mergeCells count="111">
    <mergeCell ref="G3:G4"/>
    <mergeCell ref="G5:G6"/>
    <mergeCell ref="S21:S26"/>
    <mergeCell ref="D18:D20"/>
    <mergeCell ref="C21:C26"/>
    <mergeCell ref="D21:D23"/>
    <mergeCell ref="D24:D26"/>
    <mergeCell ref="F3:F4"/>
    <mergeCell ref="F5:F6"/>
    <mergeCell ref="D3:D4"/>
    <mergeCell ref="E3:E4"/>
    <mergeCell ref="D5:D6"/>
    <mergeCell ref="E5:E6"/>
    <mergeCell ref="P15:P26"/>
    <mergeCell ref="Q15:Q26"/>
    <mergeCell ref="S15:S20"/>
    <mergeCell ref="I11:I14"/>
    <mergeCell ref="J11:J12"/>
    <mergeCell ref="I5:I6"/>
    <mergeCell ref="O5:O6"/>
    <mergeCell ref="P5:P6"/>
    <mergeCell ref="N3:N4"/>
    <mergeCell ref="I3:I4"/>
    <mergeCell ref="J3:J4"/>
    <mergeCell ref="A11:A14"/>
    <mergeCell ref="B11:B12"/>
    <mergeCell ref="B13:B14"/>
    <mergeCell ref="B3:B4"/>
    <mergeCell ref="B5:B6"/>
    <mergeCell ref="C3:C4"/>
    <mergeCell ref="C5:C6"/>
    <mergeCell ref="A3:A4"/>
    <mergeCell ref="A5:A6"/>
    <mergeCell ref="AG21:AG26"/>
    <mergeCell ref="AH21:AH26"/>
    <mergeCell ref="K15:K20"/>
    <mergeCell ref="K21:K26"/>
    <mergeCell ref="AC21:AC26"/>
    <mergeCell ref="AD21:AD23"/>
    <mergeCell ref="AF21:AF26"/>
    <mergeCell ref="L24:L26"/>
    <mergeCell ref="AD24:AD26"/>
    <mergeCell ref="AC15:AC20"/>
    <mergeCell ref="AD15:AD17"/>
    <mergeCell ref="L21:L23"/>
    <mergeCell ref="O21:O26"/>
    <mergeCell ref="AF15:AF20"/>
    <mergeCell ref="AG15:AG20"/>
    <mergeCell ref="AH15:AH20"/>
    <mergeCell ref="L18:L20"/>
    <mergeCell ref="AD18:AD20"/>
    <mergeCell ref="U15:U26"/>
    <mergeCell ref="AA15:AA26"/>
    <mergeCell ref="AB15:AB26"/>
    <mergeCell ref="L15:L17"/>
    <mergeCell ref="O15:O20"/>
    <mergeCell ref="T15:T26"/>
    <mergeCell ref="A15:A20"/>
    <mergeCell ref="B15:B20"/>
    <mergeCell ref="A21:A26"/>
    <mergeCell ref="B21:B26"/>
    <mergeCell ref="J15:J20"/>
    <mergeCell ref="J21:J26"/>
    <mergeCell ref="I15:I20"/>
    <mergeCell ref="I21:I26"/>
    <mergeCell ref="C15:C20"/>
    <mergeCell ref="D15:D17"/>
    <mergeCell ref="AA11:AA14"/>
    <mergeCell ref="AB11:AB12"/>
    <mergeCell ref="J13:J14"/>
    <mergeCell ref="AB13:AB14"/>
    <mergeCell ref="AI5:AI6"/>
    <mergeCell ref="AA5:AA6"/>
    <mergeCell ref="AB5:AB6"/>
    <mergeCell ref="AC5:AC6"/>
    <mergeCell ref="Q5:Q6"/>
    <mergeCell ref="T5:T6"/>
    <mergeCell ref="U5:U6"/>
    <mergeCell ref="V5:V6"/>
    <mergeCell ref="W5:W6"/>
    <mergeCell ref="X5:X6"/>
    <mergeCell ref="AD5:AD6"/>
    <mergeCell ref="AE5:AE6"/>
    <mergeCell ref="AF5:AF6"/>
    <mergeCell ref="AG5:AG6"/>
    <mergeCell ref="AH5:AH6"/>
    <mergeCell ref="J5:J6"/>
    <mergeCell ref="K5:K6"/>
    <mergeCell ref="L5:L6"/>
    <mergeCell ref="M5:M6"/>
    <mergeCell ref="N5:N6"/>
    <mergeCell ref="K3:K4"/>
    <mergeCell ref="L3:L4"/>
    <mergeCell ref="M3:M4"/>
    <mergeCell ref="AH3:AH4"/>
    <mergeCell ref="AI3:AI4"/>
    <mergeCell ref="AC3:AC4"/>
    <mergeCell ref="AD3:AD4"/>
    <mergeCell ref="AE3:AE4"/>
    <mergeCell ref="AF3:AF4"/>
    <mergeCell ref="AG3:AG4"/>
    <mergeCell ref="AB3:AB4"/>
    <mergeCell ref="W3:W4"/>
    <mergeCell ref="X3:X4"/>
    <mergeCell ref="AA3:AA4"/>
    <mergeCell ref="O3:O4"/>
    <mergeCell ref="P3:P4"/>
    <mergeCell ref="Q3:Q4"/>
    <mergeCell ref="T3:T4"/>
    <mergeCell ref="U3:U4"/>
    <mergeCell ref="V3:V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E44D-D5CC-49A5-8489-4AA466317052}">
  <dimension ref="A1:C13"/>
  <sheetViews>
    <sheetView topLeftCell="A2" zoomScale="160" zoomScaleNormal="160" workbookViewId="0">
      <selection activeCell="A6" sqref="A6:B6"/>
    </sheetView>
  </sheetViews>
  <sheetFormatPr defaultRowHeight="14.5" x14ac:dyDescent="0.35"/>
  <cols>
    <col min="1" max="1" width="13.7265625" style="2" customWidth="1"/>
    <col min="2" max="2" width="96.81640625" customWidth="1"/>
  </cols>
  <sheetData>
    <row r="1" spans="1:3" x14ac:dyDescent="0.35">
      <c r="A1" s="2" t="s">
        <v>64</v>
      </c>
      <c r="B1" t="s">
        <v>65</v>
      </c>
      <c r="C1" t="s">
        <v>66</v>
      </c>
    </row>
    <row r="2" spans="1:3" ht="29" x14ac:dyDescent="0.35">
      <c r="A2" s="2">
        <v>1</v>
      </c>
      <c r="B2" s="3" t="s">
        <v>67</v>
      </c>
    </row>
    <row r="3" spans="1:3" ht="29" x14ac:dyDescent="0.35">
      <c r="A3" s="2">
        <v>2</v>
      </c>
      <c r="B3" s="3" t="s">
        <v>68</v>
      </c>
    </row>
    <row r="4" spans="1:3" ht="29" x14ac:dyDescent="0.35">
      <c r="A4" s="2">
        <v>2.1</v>
      </c>
      <c r="B4" s="3" t="s">
        <v>69</v>
      </c>
    </row>
    <row r="5" spans="1:3" ht="29" x14ac:dyDescent="0.35">
      <c r="A5" s="2">
        <v>2.2000000000000002</v>
      </c>
      <c r="B5" s="3" t="s">
        <v>70</v>
      </c>
    </row>
    <row r="6" spans="1:3" x14ac:dyDescent="0.35">
      <c r="A6" s="2">
        <v>3</v>
      </c>
      <c r="B6" s="3" t="s">
        <v>71</v>
      </c>
    </row>
    <row r="7" spans="1:3" x14ac:dyDescent="0.35">
      <c r="A7" s="2">
        <v>4</v>
      </c>
      <c r="B7" s="3" t="s">
        <v>72</v>
      </c>
    </row>
    <row r="8" spans="1:3" ht="29" x14ac:dyDescent="0.35">
      <c r="A8" s="2">
        <v>5</v>
      </c>
      <c r="B8" s="3" t="s">
        <v>73</v>
      </c>
    </row>
    <row r="9" spans="1:3" ht="29" x14ac:dyDescent="0.35">
      <c r="A9" s="2">
        <v>6</v>
      </c>
      <c r="B9" s="3" t="s">
        <v>74</v>
      </c>
    </row>
    <row r="10" spans="1:3" ht="29" x14ac:dyDescent="0.35">
      <c r="A10" s="2">
        <v>7</v>
      </c>
      <c r="B10" s="3" t="s">
        <v>75</v>
      </c>
    </row>
    <row r="11" spans="1:3" ht="43.5" x14ac:dyDescent="0.35">
      <c r="A11" s="2">
        <v>8</v>
      </c>
      <c r="B11" s="3" t="s">
        <v>76</v>
      </c>
    </row>
    <row r="12" spans="1:3" ht="29" x14ac:dyDescent="0.35">
      <c r="A12" s="2">
        <v>9</v>
      </c>
      <c r="B12" s="3" t="s">
        <v>77</v>
      </c>
    </row>
    <row r="13" spans="1:3" ht="29" x14ac:dyDescent="0.35">
      <c r="A13" s="2">
        <v>10</v>
      </c>
      <c r="B13" s="3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a1b09326-ccd8-4bd8-98e0-235e75f123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165124425B64D8AFC7E871F54D524" ma:contentTypeVersion="18" ma:contentTypeDescription="Create a new document." ma:contentTypeScope="" ma:versionID="43f7e8e32ff21de2dae1c3ec671309b8">
  <xsd:schema xmlns:xsd="http://www.w3.org/2001/XMLSchema" xmlns:xs="http://www.w3.org/2001/XMLSchema" xmlns:p="http://schemas.microsoft.com/office/2006/metadata/properties" xmlns:ns2="b3b77efd-0373-4fb3-98c8-354f40036fa6" xmlns:ns3="a1b09326-ccd8-4bd8-98e0-235e75f1234d" xmlns:ns4="97f04bfd-fa1c-464f-8a3f-e40d6f3b83d5" targetNamespace="http://schemas.microsoft.com/office/2006/metadata/properties" ma:root="true" ma:fieldsID="384a58ca499b42313714bb0e9922ebec" ns2:_="" ns3:_="" ns4:_="">
    <xsd:import namespace="b3b77efd-0373-4fb3-98c8-354f40036fa6"/>
    <xsd:import namespace="a1b09326-ccd8-4bd8-98e0-235e75f1234d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7efd-0373-4fb3-98c8-354f40036f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9326-ccd8-4bd8-98e0-235e75f1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C846B1-3F62-4B02-A27F-2E48E7FD9879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a1b09326-ccd8-4bd8-98e0-235e75f1234d"/>
  </ds:schemaRefs>
</ds:datastoreItem>
</file>

<file path=customXml/itemProps2.xml><?xml version="1.0" encoding="utf-8"?>
<ds:datastoreItem xmlns:ds="http://schemas.openxmlformats.org/officeDocument/2006/customXml" ds:itemID="{056C4731-7E7E-4CE8-AE3B-66B3E288C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7efd-0373-4fb3-98c8-354f40036fa6"/>
    <ds:schemaRef ds:uri="a1b09326-ccd8-4bd8-98e0-235e75f1234d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69CB6-EE0A-4D80-B0EF-A3B9968ACA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Reallocation Steps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Wood</dc:creator>
  <cp:keywords/>
  <dc:description/>
  <cp:lastModifiedBy>Sara Wood</cp:lastModifiedBy>
  <cp:revision/>
  <dcterms:created xsi:type="dcterms:W3CDTF">2024-05-31T00:24:30Z</dcterms:created>
  <dcterms:modified xsi:type="dcterms:W3CDTF">2025-05-29T22:18:19Z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0x0101007EF165124425B64D8AFC7E871F54D524</vt:lpwstr>
  </property>
  <property fmtid="{D5CDD505-2E9C-101B-9397-08002B2CF9AE}" pid="3" name="MediaServiceImageTags">
    <vt:lpwstr/>
  </property>
</Properties>
</file>